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Olibris\Workspace_Claude\Olibris\"/>
    </mc:Choice>
  </mc:AlternateContent>
  <xr:revisionPtr revIDLastSave="0" documentId="13_ncr:1_{46486C0A-7357-4182-95C6-835D7D8E54C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ode d'emploi" sheetId="1" r:id="rId1"/>
    <sheet name="Parcours" sheetId="2" r:id="rId2"/>
    <sheet name="Par chapitre" sheetId="3" r:id="rId3"/>
  </sheets>
  <definedNames>
    <definedName name="_xlnm._FilterDatabase" localSheetId="1" hidden="1">Parcours!$A$1:$J$249</definedName>
    <definedName name="_xlnm.Print_Titles" localSheetId="1">Parcours!$1:$1</definedName>
    <definedName name="_xlnm.Print_Area" localSheetId="0">'Mode d''emploi'!$A$1:$A$19</definedName>
    <definedName name="_xlnm.Print_Area" localSheetId="2">'Par chapitre'!$A$1:$I$38</definedName>
    <definedName name="_xlnm.Print_Area" localSheetId="1">Parcours!$A$1:$J$249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3" l="1"/>
  <c r="F38" i="3"/>
  <c r="E38" i="3"/>
  <c r="D38" i="3"/>
  <c r="G38" i="3" s="1"/>
  <c r="I38" i="3" s="1"/>
  <c r="H37" i="3"/>
  <c r="F37" i="3"/>
  <c r="E37" i="3"/>
  <c r="D37" i="3"/>
  <c r="G37" i="3" s="1"/>
  <c r="I37" i="3" s="1"/>
  <c r="H36" i="3"/>
  <c r="F36" i="3"/>
  <c r="E36" i="3"/>
  <c r="D36" i="3"/>
  <c r="G36" i="3" s="1"/>
  <c r="I36" i="3" s="1"/>
  <c r="H35" i="3"/>
  <c r="F35" i="3"/>
  <c r="E35" i="3"/>
  <c r="G35" i="3" s="1"/>
  <c r="I35" i="3" s="1"/>
  <c r="D35" i="3"/>
  <c r="H34" i="3"/>
  <c r="F34" i="3"/>
  <c r="E34" i="3"/>
  <c r="D34" i="3"/>
  <c r="G34" i="3" s="1"/>
  <c r="I34" i="3" s="1"/>
  <c r="H33" i="3"/>
  <c r="F33" i="3"/>
  <c r="E33" i="3"/>
  <c r="D33" i="3"/>
  <c r="G33" i="3" s="1"/>
  <c r="I33" i="3" s="1"/>
  <c r="H32" i="3"/>
  <c r="G32" i="3"/>
  <c r="I32" i="3" s="1"/>
  <c r="F32" i="3"/>
  <c r="E32" i="3"/>
  <c r="D32" i="3"/>
  <c r="H31" i="3"/>
  <c r="F31" i="3"/>
  <c r="E31" i="3"/>
  <c r="D31" i="3"/>
  <c r="G31" i="3" s="1"/>
  <c r="I31" i="3" s="1"/>
  <c r="H30" i="3"/>
  <c r="F30" i="3"/>
  <c r="E30" i="3"/>
  <c r="G30" i="3" s="1"/>
  <c r="I30" i="3" s="1"/>
  <c r="D30" i="3"/>
  <c r="H29" i="3"/>
  <c r="F29" i="3"/>
  <c r="G29" i="3" s="1"/>
  <c r="I29" i="3" s="1"/>
  <c r="E29" i="3"/>
  <c r="D29" i="3"/>
  <c r="H28" i="3"/>
  <c r="F28" i="3"/>
  <c r="E28" i="3"/>
  <c r="D28" i="3"/>
  <c r="G28" i="3" s="1"/>
  <c r="I28" i="3" s="1"/>
  <c r="H27" i="3"/>
  <c r="F27" i="3"/>
  <c r="E27" i="3"/>
  <c r="G27" i="3" s="1"/>
  <c r="I27" i="3" s="1"/>
  <c r="D27" i="3"/>
  <c r="H26" i="3"/>
  <c r="F26" i="3"/>
  <c r="E26" i="3"/>
  <c r="D26" i="3"/>
  <c r="G26" i="3" s="1"/>
  <c r="I26" i="3" s="1"/>
  <c r="H25" i="3"/>
  <c r="F25" i="3"/>
  <c r="E25" i="3"/>
  <c r="D25" i="3"/>
  <c r="G25" i="3" s="1"/>
  <c r="I25" i="3" s="1"/>
  <c r="H24" i="3"/>
  <c r="G24" i="3"/>
  <c r="I24" i="3" s="1"/>
  <c r="F24" i="3"/>
  <c r="E24" i="3"/>
  <c r="D24" i="3"/>
  <c r="H23" i="3"/>
  <c r="F23" i="3"/>
  <c r="E23" i="3"/>
  <c r="D23" i="3"/>
  <c r="G23" i="3" s="1"/>
  <c r="I23" i="3" s="1"/>
  <c r="H22" i="3"/>
  <c r="F22" i="3"/>
  <c r="E22" i="3"/>
  <c r="G22" i="3" s="1"/>
  <c r="I22" i="3" s="1"/>
  <c r="D22" i="3"/>
  <c r="H21" i="3"/>
  <c r="F21" i="3"/>
  <c r="E21" i="3"/>
  <c r="D21" i="3"/>
  <c r="G21" i="3" s="1"/>
  <c r="I21" i="3" s="1"/>
  <c r="H20" i="3"/>
  <c r="F20" i="3"/>
  <c r="E20" i="3"/>
  <c r="D20" i="3"/>
  <c r="G20" i="3" s="1"/>
  <c r="I20" i="3" s="1"/>
  <c r="H19" i="3"/>
  <c r="F19" i="3"/>
  <c r="E19" i="3"/>
  <c r="G19" i="3" s="1"/>
  <c r="I19" i="3" s="1"/>
  <c r="D19" i="3"/>
  <c r="H18" i="3"/>
  <c r="F18" i="3"/>
  <c r="E18" i="3"/>
  <c r="D18" i="3"/>
  <c r="G18" i="3" s="1"/>
  <c r="I18" i="3" s="1"/>
  <c r="H17" i="3"/>
  <c r="F17" i="3"/>
  <c r="E17" i="3"/>
  <c r="D17" i="3"/>
  <c r="G17" i="3" s="1"/>
  <c r="I17" i="3" s="1"/>
  <c r="H16" i="3"/>
  <c r="G16" i="3"/>
  <c r="I16" i="3" s="1"/>
  <c r="F16" i="3"/>
  <c r="E16" i="3"/>
  <c r="D16" i="3"/>
  <c r="H15" i="3"/>
  <c r="F15" i="3"/>
  <c r="E15" i="3"/>
  <c r="D15" i="3"/>
  <c r="G15" i="3" s="1"/>
  <c r="I15" i="3" s="1"/>
  <c r="H14" i="3"/>
  <c r="F14" i="3"/>
  <c r="E14" i="3"/>
  <c r="D14" i="3"/>
  <c r="G14" i="3" s="1"/>
  <c r="I14" i="3" s="1"/>
  <c r="H13" i="3"/>
  <c r="F13" i="3"/>
  <c r="E13" i="3"/>
  <c r="D13" i="3"/>
  <c r="G13" i="3" s="1"/>
  <c r="I13" i="3" s="1"/>
  <c r="H12" i="3"/>
  <c r="F12" i="3"/>
  <c r="E12" i="3"/>
  <c r="D12" i="3"/>
  <c r="G12" i="3" s="1"/>
  <c r="I12" i="3" s="1"/>
  <c r="H11" i="3"/>
  <c r="F11" i="3"/>
  <c r="E11" i="3"/>
  <c r="G11" i="3" s="1"/>
  <c r="I11" i="3" s="1"/>
  <c r="D11" i="3"/>
  <c r="H10" i="3"/>
  <c r="F10" i="3"/>
  <c r="E10" i="3"/>
  <c r="D10" i="3"/>
  <c r="G10" i="3" s="1"/>
  <c r="I10" i="3" s="1"/>
  <c r="H9" i="3"/>
  <c r="F9" i="3"/>
  <c r="E9" i="3"/>
  <c r="D9" i="3"/>
  <c r="G9" i="3" s="1"/>
  <c r="I9" i="3" s="1"/>
  <c r="C5" i="3"/>
  <c r="E5" i="3" s="1"/>
  <c r="E4" i="3"/>
  <c r="C4" i="3"/>
  <c r="C3" i="3"/>
  <c r="E3" i="3" s="1"/>
</calcChain>
</file>

<file path=xl/sharedStrings.xml><?xml version="1.0" encoding="utf-8"?>
<sst xmlns="http://schemas.openxmlformats.org/spreadsheetml/2006/main" count="1058" uniqueCount="539">
  <si>
    <t>Le parcours en trois niveaux</t>
  </si>
  <si>
    <t>Manuel complet du jeu positionnel, tome 1 — Konstantin Sakaev et Konstantin Landa</t>
  </si>
  <si>
    <t>Les auteurs ont classé leurs 248 exemples par difficulté (introduction, page 8) : une étoile pour les exemples simples, faciles à comprendre, deux pour les exemples plus difficiles, trois pour les exemples vraiment compliqués. Ce parcours s’en sert pour vous proposer de lire le livre en trois passages.</t>
  </si>
  <si>
    <t>Premier passage ★ : les 56 exemples simples, dans l’ordre du livre. Un premier tour des idées du livre, sans vous arrêter sur les cas les plus durs.</t>
  </si>
  <si>
    <t>Deuxième passage ★★ : les 112 exemples plus difficiles.</t>
  </si>
  <si>
    <t>Troisième passage ★★★ : les 80 exemples vraiment compliqués.</t>
  </si>
  <si>
    <t>Les chapitres 5 et 27 n’ont pas d’exemple simple : le premier passage les saute, le deuxième y mène.</t>
  </si>
  <si>
    <t>Comment s’en servir</t>
  </si>
  <si>
    <t>Ce classeur a trois onglets, en bas de la fenêtre : « Mode d’emploi », que vous lisez, « Parcours » et « Par chapitre ». Cliquez sur le nom d’un onglet pour l’ouvrir.</t>
  </si>
  <si>
    <t>Onglet « Parcours » : quand vous avez étudié un exemple, mettez une croix dans la colonne « Fait ». La date et les remarques sont facultatives.</t>
  </si>
  <si>
    <t>Onglet « Par chapitre » : ce que vous avez fait, chapitre par chapitre et niveau par niveau. Tout s’y calcule.</t>
  </si>
  <si>
    <t>Entraîneurs : les filtres de l’onglet « Parcours » sélectionnent un chapitre et un niveau, pour préparer une séance.</t>
  </si>
  <si>
    <t>La version PDF s’imprime, pour ceux qui préfèrent le papier.</t>
  </si>
  <si>
    <t>La lettre d’Olibris</t>
  </si>
  <si>
    <t>Environ tous les quinze jours, une idée concrète pour progresser aux échecs, et les livres qui peuvent vous y aider. Pour vous y inscrire, si vous le souhaitez : olibris.fr/sakaev1</t>
  </si>
  <si>
    <t>Fait</t>
  </si>
  <si>
    <t>Niveau</t>
  </si>
  <si>
    <t>N°</t>
  </si>
  <si>
    <t>Page</t>
  </si>
  <si>
    <t>Chapitre</t>
  </si>
  <si>
    <t>Thème du chapitre</t>
  </si>
  <si>
    <t>Partie</t>
  </si>
  <si>
    <t>Lieu et année</t>
  </si>
  <si>
    <t>Date</t>
  </si>
  <si>
    <t>Remarques</t>
  </si>
  <si>
    <t>★</t>
  </si>
  <si>
    <t>L’avantage de développement</t>
  </si>
  <si>
    <t>Mikhail Tal – Wolfgang Uhlmann</t>
  </si>
  <si>
    <t>Moscou 1971 (6)</t>
  </si>
  <si>
    <t>L’importance du centre</t>
  </si>
  <si>
    <t>Robert Fischer – Samuel Reshevsky</t>
  </si>
  <si>
    <t>New York ch-USA 1958 (6)</t>
  </si>
  <si>
    <t>Valery Loginov – Konstantin Sakaev</t>
  </si>
  <si>
    <t>Saint-Pétersbourg 1996 (6)</t>
  </si>
  <si>
    <t>Bent Larsen – Boris Spassky</t>
  </si>
  <si>
    <t>Belgrade par éq. 1970 (2)</t>
  </si>
  <si>
    <t>Pas de coups de pions superflus tant que le développement n’est pas terminé</t>
  </si>
  <si>
    <t>Konstantin Landa – Kay Hansen</t>
  </si>
  <si>
    <t>Vienne 2003 (4)</t>
  </si>
  <si>
    <t>Ne sortez pas la Dame trop tôt</t>
  </si>
  <si>
    <t>Mikhail Botvinnik – Rudolf Spielmann</t>
  </si>
  <si>
    <t>Moscou 1935 (1)</t>
  </si>
  <si>
    <t>Ne laissez pas le Roi au centre</t>
  </si>
  <si>
    <t>Konstantin Sakaev – Dmitry Lavrik</t>
  </si>
  <si>
    <t>Moscou 2009</t>
  </si>
  <si>
    <t>Rinat Jumabayev – Konstantin Sakaev</t>
  </si>
  <si>
    <t>Saint-Pétersbourg 2010</t>
  </si>
  <si>
    <t>Pas d’attaque sans préparation</t>
  </si>
  <si>
    <t>René Letelier Martner – Robert Fischer</t>
  </si>
  <si>
    <t>Leipzig ol 1960 (8)</t>
  </si>
  <si>
    <t>Calcul des variantes et méthodes de prise de décision</t>
  </si>
  <si>
    <t>Gennady Kuzmin – Evgeny Sveshnikov</t>
  </si>
  <si>
    <t>Moscou ch-URSS 1973 (14)</t>
  </si>
  <si>
    <t>Savoir utiliser le centre et le combattre</t>
  </si>
  <si>
    <t>Suat Atalik – Gerlef Meins</t>
  </si>
  <si>
    <t>Bad Wiessee 2003 (7)</t>
  </si>
  <si>
    <t>Konstantin Sakaev – Adrian Mikhalchishin</t>
  </si>
  <si>
    <t>Yougoslavie par éq. 2002</t>
  </si>
  <si>
    <t>Les pièces : coordination et activité</t>
  </si>
  <si>
    <t>Michael Adams – Ivan Sokolov</t>
  </si>
  <si>
    <t>Sarajevo 1999 (3)</t>
  </si>
  <si>
    <t>Luc Winants – Konstantin Sakaev</t>
  </si>
  <si>
    <t>Réthymnon par éq. 2003 (1)</t>
  </si>
  <si>
    <t>Nourrir l’initiative</t>
  </si>
  <si>
    <t>Zdravko Milev – Tigran Petrosian</t>
  </si>
  <si>
    <t>Bucarest 1953 (7)</t>
  </si>
  <si>
    <t>František Zíta – David Bronstein</t>
  </si>
  <si>
    <t>Moscou/Prague 1946 (6)</t>
  </si>
  <si>
    <t>La prophylaxie : anticiper les idées adverses</t>
  </si>
  <si>
    <t>Mikhail Botvinnik – Vassily Smyslov</t>
  </si>
  <si>
    <t>Moscou match ChM 1957 (13)</t>
  </si>
  <si>
    <t>Limiter le contre-jeu et la manœuvrabilité</t>
  </si>
  <si>
    <t>Alexandre Alekhine – Lajos Asztalos</t>
  </si>
  <si>
    <t>Kecskemét 1927 (2)</t>
  </si>
  <si>
    <t>Predrag Nikolić – Dragan Paunovic</t>
  </si>
  <si>
    <t>Yougoslavie-ch 1983</t>
  </si>
  <si>
    <t>Position d’entraînement, Konstantin Sakaev</t>
  </si>
  <si>
    <t>Prophylaxie : consolider sa position</t>
  </si>
  <si>
    <t>Artur Jussupow – Ivan Hausner</t>
  </si>
  <si>
    <t>Allemagne Bundesliga 1996/97 (1)</t>
  </si>
  <si>
    <t>La pensée schématique, ou l’art de regrouper ses forces et de replacer ses pièces</t>
  </si>
  <si>
    <t>Lev Polugaevsky – Efim Geller</t>
  </si>
  <si>
    <t>Riga ch-URSS 1958</t>
  </si>
  <si>
    <t>L’avantage d’espace</t>
  </si>
  <si>
    <t>Alfred Tarnowski – Mikhail Botvinnik</t>
  </si>
  <si>
    <t>Viktor Kortchnoi – Borislav Ivkov</t>
  </si>
  <si>
    <t>Hastings 1955</t>
  </si>
  <si>
    <t>Alexandre Alekhine – Karel Treybal</t>
  </si>
  <si>
    <t>Baden-Baden 1925 (9)</t>
  </si>
  <si>
    <t>Le problème des échanges. Savoir simplifier</t>
  </si>
  <si>
    <t>Alexey Suetin – Alexander Cherepkov</t>
  </si>
  <si>
    <t>Minsk 1962 (3)</t>
  </si>
  <si>
    <t>Les cases faibles. Contrôler les cases clés au centre ou un complexe de couleur</t>
  </si>
  <si>
    <t>Mikhail Botvinnik – György Szilágyi</t>
  </si>
  <si>
    <t>Amsterdam 1966 (1)</t>
  </si>
  <si>
    <t>José Gutiérrez Castillo – Reynaldo Vera González-Quevedo</t>
  </si>
  <si>
    <t>Bayamo 1989 (2)</t>
  </si>
  <si>
    <t>Thomas Henrichs – Robert Fontaine</t>
  </si>
  <si>
    <t>Allemagne Bundesliga 2011/12 (10)</t>
  </si>
  <si>
    <t>Mikhail Botvinnik – Conel Hugh O’Donel Alexander</t>
  </si>
  <si>
    <t>Munich ol 1958 (8)</t>
  </si>
  <si>
    <t>Vassily Smyslov – Iosif Rudakovsky</t>
  </si>
  <si>
    <t>Moscou ch-URSS 1945 (2)</t>
  </si>
  <si>
    <t>Robert Fischer – Julio Bolbochán</t>
  </si>
  <si>
    <t>Stockholm izt 1962 (21)</t>
  </si>
  <si>
    <t>Les colonnes ouvertes et semi-ouvertes</t>
  </si>
  <si>
    <t>José Raúl Capablanca – Milan Vidmar</t>
  </si>
  <si>
    <t>Londres 1922 (13)</t>
  </si>
  <si>
    <t>L’avantage de la paire de Fous</t>
  </si>
  <si>
    <t>Mikhail Botvinnik – Vasily Panov</t>
  </si>
  <si>
    <t>Leningrad ch-URSS 1939 (9)</t>
  </si>
  <si>
    <t>Les « bons » et les « mauvais » Fous</t>
  </si>
  <si>
    <t>Alexander Krapivin – Artem Ilyin</t>
  </si>
  <si>
    <t>Moscou 2008 (2)</t>
  </si>
  <si>
    <t>Tigran Petrosian – Samuel Schweber</t>
  </si>
  <si>
    <t>Stockholm izt 1962 (19)</t>
  </si>
  <si>
    <t>Akiba Rubinstein – Frank Marshall</t>
  </si>
  <si>
    <t>Breslau 1912 (16)</t>
  </si>
  <si>
    <t>Fou ou Cavalier ?</t>
  </si>
  <si>
    <t>Lev Polugaevsky – Ladislav Alster</t>
  </si>
  <si>
    <t>Mariánské Lázně 1959 (12)</t>
  </si>
  <si>
    <t>Sergey Shipov – Konstantin Sakaev</t>
  </si>
  <si>
    <t>Russie par éq. 2004 (7)</t>
  </si>
  <si>
    <t>Les Fous de couleurs opposées</t>
  </si>
  <si>
    <t>Konstantin Landa – Ľubomír Ftáčnik</t>
  </si>
  <si>
    <t>Allemagne Bundesliga 2005/06 (8)</t>
  </si>
  <si>
    <t>Sergey Tiviakov – Robin van Kampen</t>
  </si>
  <si>
    <t>Wijk aan Zee 2013 (9)</t>
  </si>
  <si>
    <t>Cases fortes et avant-postes</t>
  </si>
  <si>
    <t>Jonathan Tisdall – Evgeny Sveshnikov</t>
  </si>
  <si>
    <t>Hastings 1977 (12)</t>
  </si>
  <si>
    <t>Bent Larsen – Efim Geller</t>
  </si>
  <si>
    <t>Linares 1983 (8)</t>
  </si>
  <si>
    <t>Cavalier au bord est-il vraiment mort ?</t>
  </si>
  <si>
    <t>Tigran Petrosian – Aleksandar Matanović</t>
  </si>
  <si>
    <t>Kiev par éq. 1959 (1)</t>
  </si>
  <si>
    <t>Le jeu de flanc. N’attaquez pas à l’aile tant que le centre n’est pas en sécurité !</t>
  </si>
  <si>
    <t>Sergey Kasparov – Konstantin Landa</t>
  </si>
  <si>
    <t>Deizisau 2004 (7)</t>
  </si>
  <si>
    <t>Jan Smeets – René Wendt</t>
  </si>
  <si>
    <t>Amsterdam 2000 (1)</t>
  </si>
  <si>
    <t>Konstantin Sakaev – Darius Ruzele</t>
  </si>
  <si>
    <t>Elista ol 1998 (6)</t>
  </si>
  <si>
    <t>Robert Fischer – Vassily Smyslov</t>
  </si>
  <si>
    <t>Bled/Zagreb/Belgrade ct 1959 (21)</t>
  </si>
  <si>
    <t>Les pièces « superflues »</t>
  </si>
  <si>
    <t>Tigran Petrosian – Robert Fischer</t>
  </si>
  <si>
    <t>Bled/Zagreb/Belgrade ct 1959 (9)</t>
  </si>
  <si>
    <t>Tenir compte des possibilités de l’adversaire. La perte de concentration</t>
  </si>
  <si>
    <t>Mikhail Tal – Efim Geller</t>
  </si>
  <si>
    <t>Riga ch-URSS 1958 (12)</t>
  </si>
  <si>
    <t>David Navara – Anish Giri</t>
  </si>
  <si>
    <t>Varsovie ChEur par éq. 2013 (6)</t>
  </si>
  <si>
    <t>Frederick Yates – Frank Marshall</t>
  </si>
  <si>
    <t>Carlsbad 1929 (9)</t>
  </si>
  <si>
    <t>Les méthodes de défense</t>
  </si>
  <si>
    <t>Konstantin Landa – Igors Rausis</t>
  </si>
  <si>
    <t>Düsseldorf 2004 (5)</t>
  </si>
  <si>
    <t>Vladimir Liberzon – Mark Taimanov</t>
  </si>
  <si>
    <t>Tbilissi ch-URSS 1966 (4)</t>
  </si>
  <si>
    <t>Nicolas Lubbe – Rüdiger Seger</t>
  </si>
  <si>
    <t>Bonn ch-GER 2011 (5)</t>
  </si>
  <si>
    <t>Wolfgang Pietzsch – Guido Cappello</t>
  </si>
  <si>
    <t>La Havane ol 1966 (6)</t>
  </si>
  <si>
    <t>★★</t>
  </si>
  <si>
    <t>Mikhail Tal – Román Torán</t>
  </si>
  <si>
    <t>Oberhausen ChEur par éq. 1961 (9)</t>
  </si>
  <si>
    <t>Mikhail Tal – Tigran Petrosian</t>
  </si>
  <si>
    <t>Moscou par éq. 1974 (1)</t>
  </si>
  <si>
    <t>Nikola Spiridonov – Garry Kasparov</t>
  </si>
  <si>
    <t>Skara ChEur par éq. 1980 (4)</t>
  </si>
  <si>
    <t>Arkadij Naiditsch – Christian Bauer</t>
  </si>
  <si>
    <t>France par éq. 2011 (2)</t>
  </si>
  <si>
    <t>Nikola Kovačević – Slavko Petrović</t>
  </si>
  <si>
    <t>Andrijevica ch-MNT 2012 (8)</t>
  </si>
  <si>
    <t>Max Euwe – Alexandre Alekhine</t>
  </si>
  <si>
    <t>Pays-Bas, Match de ChM 1937 (25)</t>
  </si>
  <si>
    <t>Andor Lilienthal – José Raúl Capablanca</t>
  </si>
  <si>
    <t>Hastings 1934 (5)</t>
  </si>
  <si>
    <t>Mikhail Tal – Georgi Tringov</t>
  </si>
  <si>
    <t>Amsterdam izt 1964 (2)</t>
  </si>
  <si>
    <t>Konstantin Sakaev – Pavel Tregubov</t>
  </si>
  <si>
    <t>Saint-Pétersbourg ch-RUS 1998 (2)</t>
  </si>
  <si>
    <t>Stefano Tatai – Anatoly Karpov</t>
  </si>
  <si>
    <t>Las Palmas 1977 (13)</t>
  </si>
  <si>
    <t>Ne jouez pas deux fois la même pièce dans l’ouverture</t>
  </si>
  <si>
    <t>Alexandre Alekhine – Frank Marshall</t>
  </si>
  <si>
    <t>New York 1927 (18)</t>
  </si>
  <si>
    <t>Konstantin Sakaev – Arkadij Naiditsch</t>
  </si>
  <si>
    <t>Serbie par éq. 2007 (9)</t>
  </si>
  <si>
    <t>Mikhail Botvinnik – Lajos Portisch</t>
  </si>
  <si>
    <t>Monaco 1968 (7)</t>
  </si>
  <si>
    <t>Mikhail Tal – Géza Füster</t>
  </si>
  <si>
    <t>Portorož izt 1958 (9)</t>
  </si>
  <si>
    <t>Valentina Gunina – Joanna Majdan</t>
  </si>
  <si>
    <t>Halkidiki ChEur par éq. W 2011 (6)</t>
  </si>
  <si>
    <t>Viswanathan Anand – Joël Lautier</t>
  </si>
  <si>
    <t>Bienne 1997 (1)</t>
  </si>
  <si>
    <t>Garry Kasparov – Judit Polgár</t>
  </si>
  <si>
    <t>Tilburg 1997 (2)</t>
  </si>
  <si>
    <t>Anton Korobov – Vasif Durarbeyli</t>
  </si>
  <si>
    <t>Bakou 2012 (8)</t>
  </si>
  <si>
    <t>Anatoly Karpov – Jan Timman</t>
  </si>
  <si>
    <t>Amsterdam 1991 (7)</t>
  </si>
  <si>
    <t>Artur Jussupow – Konstantin Landa</t>
  </si>
  <si>
    <t>Allemagne Bundesliga 2008/09 (1)</t>
  </si>
  <si>
    <t>Sergey Movsesian – Romain Édouard</t>
  </si>
  <si>
    <t>Wijk aan Zee 2013 (5)</t>
  </si>
  <si>
    <t>Alexandre Alekhine – Max Euwe</t>
  </si>
  <si>
    <t>Pays-Bas match ChM 1935 (1)</t>
  </si>
  <si>
    <t>Anish Giri – Fabiano Caruana</t>
  </si>
  <si>
    <t>Wijk aan Zee 2013 (11)</t>
  </si>
  <si>
    <t>Sergey Tiviakov – Konstantin Sakaev</t>
  </si>
  <si>
    <t>Khanty-Mansiïsk 2005 (2)</t>
  </si>
  <si>
    <t>Konstantin Sakaev – Igor Kurnosov</t>
  </si>
  <si>
    <t>Moscou 2004 (1)</t>
  </si>
  <si>
    <t>Sergey Volkov – Konstantin Sakaev</t>
  </si>
  <si>
    <t>New Delhi rapide 2000 (1)</t>
  </si>
  <si>
    <t>Vasyl Ivanchuk – Alexander Morozevich</t>
  </si>
  <si>
    <t>Amsterdam 1996 (10)</t>
  </si>
  <si>
    <t>Konstantin Sakaev – Andreï Sokolov</t>
  </si>
  <si>
    <t>Ulcinj 1997</t>
  </si>
  <si>
    <t>Konstantin Sakaev – Sergey Azarov</t>
  </si>
  <si>
    <t>Moscou 2006 (5)</t>
  </si>
  <si>
    <t>Loek van Wely – Ruslan Ponomariov</t>
  </si>
  <si>
    <t>Khanty-Mansiïsk 2005 (1)</t>
  </si>
  <si>
    <t>Alexey Sokolsky – Vassily Smyslov</t>
  </si>
  <si>
    <t>Kuibyshev 1942 (10)</t>
  </si>
  <si>
    <t>Mark Taimanov – Leonid Stein</t>
  </si>
  <si>
    <t>Tbilissi ch-URSS 1966 (9)</t>
  </si>
  <si>
    <t>Sergey Rublevsky – Bartłomiej Macieja</t>
  </si>
  <si>
    <t>Polanica-Zdrój 1998 (1)</t>
  </si>
  <si>
    <t>Mikhail Botvinnik – Grigory Levenfish</t>
  </si>
  <si>
    <t>Moscou match 1937 (8)</t>
  </si>
  <si>
    <t>Tigran Petrosian – Boris Spassky</t>
  </si>
  <si>
    <t>Moscou match ChM 1969 (10)</t>
  </si>
  <si>
    <t>Peter Svidler – Jeroen Piket</t>
  </si>
  <si>
    <t>Tilburg 1998 (2)</t>
  </si>
  <si>
    <t>Isaak Boleslavsky – Igor Bondarevsky</t>
  </si>
  <si>
    <t>Union Soviétique par éq. 1951</t>
  </si>
  <si>
    <t>Lev Polugaevsky – Anthony Saidy</t>
  </si>
  <si>
    <t>Tallinn 1973 (4)</t>
  </si>
  <si>
    <t>Lev Polugaevsky – Ljubomir Ljubojević</t>
  </si>
  <si>
    <t>Bugojno 1980 (5)</t>
  </si>
  <si>
    <t>Konstantin Sakaev – Lars Schandorff</t>
  </si>
  <si>
    <t>Copenhague 2005 (7)</t>
  </si>
  <si>
    <t>Igor Drozdov – Konstantin Sakaev</t>
  </si>
  <si>
    <t>Kazan par éq. 1995 (7)</t>
  </si>
  <si>
    <t>Mark Tseitlin – Konstantin Sakaev</t>
  </si>
  <si>
    <t>Úbeda 2001 (6)</t>
  </si>
  <si>
    <t>András Adorján – Alexey Suetin</t>
  </si>
  <si>
    <t>Budapest 1970 (1)</t>
  </si>
  <si>
    <t>Josef Čučka – Vlastimil Jansa</t>
  </si>
  <si>
    <t>Ostrava 1960 (12)</t>
  </si>
  <si>
    <t>Wolfgang Unzicker – Mark Taimanov</t>
  </si>
  <si>
    <t>Saltsjöbaden izt 1952 (8)</t>
  </si>
  <si>
    <t>Péter Lékó – Michael Adams</t>
  </si>
  <si>
    <t>Dortmund 2002 (6)</t>
  </si>
  <si>
    <t>Konstantin Landa – Péter Lékó</t>
  </si>
  <si>
    <t>Russie par éq. 2012 (5)</t>
  </si>
  <si>
    <t>Anatoly Karpov – Boris Spassky</t>
  </si>
  <si>
    <t>Leningrad match 1974 (9)</t>
  </si>
  <si>
    <t>Robert Fischer – Wolfgang Unzicker</t>
  </si>
  <si>
    <t>Zurich 1959 (8)</t>
  </si>
  <si>
    <t>Ljubomir Ljubojević – Leonid Stein</t>
  </si>
  <si>
    <t>Las Palmas 1973 (13)</t>
  </si>
  <si>
    <t>Alexey Yuneev – Anatoly Donchenko</t>
  </si>
  <si>
    <t>Simferopol 1989</t>
  </si>
  <si>
    <t>Vladimir Kramnik – John Nunn</t>
  </si>
  <si>
    <t>Manille ol 1992 (14)</t>
  </si>
  <si>
    <t>Artur Jussupow – Joël Lautier</t>
  </si>
  <si>
    <t>Amsterdam 1994 (3)</t>
  </si>
  <si>
    <t>Viktor Kortchnoi – Anatoly Karpov</t>
  </si>
  <si>
    <t>Hastings 1971 (14)</t>
  </si>
  <si>
    <t>Siegen ol 1970 (7)</t>
  </si>
  <si>
    <t>Vladimir Kramnik – Joël Lautier</t>
  </si>
  <si>
    <t>Belgrade 1995 (9)</t>
  </si>
  <si>
    <t>Predrag Nikolić – Vigen Mirumian</t>
  </si>
  <si>
    <t>Erevan ol 1996 (2)</t>
  </si>
  <si>
    <t>Friedrich Sämisch – Alexandre Alekhine</t>
  </si>
  <si>
    <t>Dresde 1926 (1)</t>
  </si>
  <si>
    <t>Frederick Yates – Alexandre Alekhine</t>
  </si>
  <si>
    <t>La Haye 1921 (8)</t>
  </si>
  <si>
    <t>Moscou 2006 (8)</t>
  </si>
  <si>
    <t>Evgeny Bareev – Ilya Gurevich</t>
  </si>
  <si>
    <t>Hastings 1992 (2)</t>
  </si>
  <si>
    <t>Lev Polugaevsky – Leonid Stein</t>
  </si>
  <si>
    <t>Moscou ch-URSS 1961 (1)</t>
  </si>
  <si>
    <t>Anatoly Karpov – Vladimir Bagirov</t>
  </si>
  <si>
    <t>Riga ch-URSS 1970 (12)</t>
  </si>
  <si>
    <t>Viktor Bologan – Rafael Vaganian</t>
  </si>
  <si>
    <t>Groningue 1997 (2)</t>
  </si>
  <si>
    <t>Svetozar Gligorić – Dragoljub Minić</t>
  </si>
  <si>
    <t>Yougoslavie par éq. 1972</t>
  </si>
  <si>
    <t>Mikhail Tal – Mikhail Botvinnik</t>
  </si>
  <si>
    <t>Moscou Match ChM 1960 (15)</t>
  </si>
  <si>
    <t>Artur Jussupow – Stefan Kindermann</t>
  </si>
  <si>
    <t>Munich 1988 (8)</t>
  </si>
  <si>
    <t>Efim Geller – Robert Fischer</t>
  </si>
  <si>
    <t>Curaçao ct 1962 (16)</t>
  </si>
  <si>
    <t>Efim Geller – Miguel Najdorf</t>
  </si>
  <si>
    <t>Zurich ct 1953 (13)</t>
  </si>
  <si>
    <t>Boris Spassky – Mark Taimanov</t>
  </si>
  <si>
    <t>Leningrad ch-URSS 1956 (13)</t>
  </si>
  <si>
    <t>Vlastimil Jansa – Vladimir Simagin</t>
  </si>
  <si>
    <t>Polanica-Zdrój 1968 (8)</t>
  </si>
  <si>
    <t>Jan Timman – Božidar Ivanović</t>
  </si>
  <si>
    <t>Bugojno 1984 (4)</t>
  </si>
  <si>
    <t>Sergey Tiviakov – Yury Yakovich</t>
  </si>
  <si>
    <t>St Vincent ChEur 2000 (6)</t>
  </si>
  <si>
    <t>Israel Caspi – Evgeny Postny</t>
  </si>
  <si>
    <t>Aix-les-Bains ChEur 2011 (7)</t>
  </si>
  <si>
    <t>Anatoly Karpov – Yasser Seirawan</t>
  </si>
  <si>
    <t>Skellefteå 1989 (8)</t>
  </si>
  <si>
    <t>Vladimir Kramnik – Boris Gelfand</t>
  </si>
  <si>
    <t>Cap d’Agde rapide 2003 (4)</t>
  </si>
  <si>
    <t>Konstantin Sakaev – Martin Mrva</t>
  </si>
  <si>
    <t>Istanbul ol 2000 (8)</t>
  </si>
  <si>
    <t>Alexander Rustemov – Martin Neubauer</t>
  </si>
  <si>
    <t>Allemagne Bundesliga 2011/12 (13)</t>
  </si>
  <si>
    <t>Konstantin Sakaev – Boris Gelfand</t>
  </si>
  <si>
    <t>Kallithea par éq. 2008 (6)</t>
  </si>
  <si>
    <t>Efim Geller – Heinz Liebert</t>
  </si>
  <si>
    <t>Kapfenberg ChEur par éq. 1970 (6)</t>
  </si>
  <si>
    <t>Salomon Flohr – Petr Romanovsky</t>
  </si>
  <si>
    <t>Moscou 1935 (15)</t>
  </si>
  <si>
    <t>Aaron Nimzowitsch – José Raúl Capablanca</t>
  </si>
  <si>
    <t>New York 1927 (2)</t>
  </si>
  <si>
    <t>Anatoly Karpov – Wolfgang Unzicker</t>
  </si>
  <si>
    <t>Nice ol 1974 (3)</t>
  </si>
  <si>
    <t>New York 1927 (15)</t>
  </si>
  <si>
    <t>Semyon Furman – Ratmir Kholmov</t>
  </si>
  <si>
    <t>Leningrad ch-URSS 1963 (4)</t>
  </si>
  <si>
    <t>Vasyl Ivanchuk – Hikaru Nakamura</t>
  </si>
  <si>
    <t>Medias 2011 (10)</t>
  </si>
  <si>
    <t>Garry Kasparov – Vassily Smyslov</t>
  </si>
  <si>
    <t>Vilnius match 1984 (9)</t>
  </si>
  <si>
    <t>Boris Grachev – Igor Lysyj</t>
  </si>
  <si>
    <t>Taganrog ch-RUS 2011 (11)</t>
  </si>
  <si>
    <t>Liviu-Dieter Nisipeanu – Konstantin Landa</t>
  </si>
  <si>
    <t>Bad Wiessee 2012 (8)</t>
  </si>
  <si>
    <t>Anatoly Karpov – Joël Lautier</t>
  </si>
  <si>
    <t>Bienne 1992 (1)</t>
  </si>
  <si>
    <t>Ljubomir Ljubojević – Anatoly Karpov</t>
  </si>
  <si>
    <t>Linares 1981 (5)</t>
  </si>
  <si>
    <t>Konstantin Sakaev – Ratmir Kholmov</t>
  </si>
  <si>
    <t>Moscou 1998 (4)</t>
  </si>
  <si>
    <t>Alexander Ipatov – Arkadij Naiditsch</t>
  </si>
  <si>
    <t>Wijk aan Zee 2013 (7)</t>
  </si>
  <si>
    <t>Konstantin Sakaev – Peter Svidler</t>
  </si>
  <si>
    <t>Saint-Pétersbourg 1997 (5)</t>
  </si>
  <si>
    <t>Boris Alterman – Anatoly Karpov</t>
  </si>
  <si>
    <t>Tyniste par éq. 1995 (3)</t>
  </si>
  <si>
    <t>Andor Lilienthal – Mikhail Botvinnik</t>
  </si>
  <si>
    <t>Moscou ch-URSS 1941 (17)</t>
  </si>
  <si>
    <t>Arkadij Naiditsch – Ian Nepomniachtchi</t>
  </si>
  <si>
    <t>Dortmund 2008 (1)</t>
  </si>
  <si>
    <t>Paul Keres – László Szabó</t>
  </si>
  <si>
    <t>Hastings 1954 (8)</t>
  </si>
  <si>
    <t>Zoltán Almási – Pentala Harikrishna</t>
  </si>
  <si>
    <t>Reggio Emilia 2007 (1)</t>
  </si>
  <si>
    <t>Evgeny Bareev – Zbyněk Hráček</t>
  </si>
  <si>
    <t>Pardubice 1994 (6)</t>
  </si>
  <si>
    <t>Quand le Roi change d’aile</t>
  </si>
  <si>
    <t>Jesús Díez del Corral – Tigran Petrosian</t>
  </si>
  <si>
    <t>Palma de Majorque 1969 (14)</t>
  </si>
  <si>
    <t>Konstantin Landa – Mircea Pârligras</t>
  </si>
  <si>
    <t>France par éq. 2009 (4)</t>
  </si>
  <si>
    <t>Johannes Zukertort – Joseph Blackburne</t>
  </si>
  <si>
    <t>Londres 1883</t>
  </si>
  <si>
    <t>Alexander Khalifman – Ruslan Sherbakov</t>
  </si>
  <si>
    <t>Elista ch-RUS 1995 (1)</t>
  </si>
  <si>
    <t>Zbyněk Hráček – Zoltán Almási</t>
  </si>
  <si>
    <t>Odorheiu Secuiesc zt 1995 (4)</t>
  </si>
  <si>
    <t>Konstantin Landa – László Gonda</t>
  </si>
  <si>
    <t>Allemagne Bundesliga 2011/12 (3)</t>
  </si>
  <si>
    <t>Anatoly Karpov – Garry Kasparov</t>
  </si>
  <si>
    <t>Séville Match ChM 1987 (23)</t>
  </si>
  <si>
    <t>Salvador Del Río de Angelis – Jan Gustafsson</t>
  </si>
  <si>
    <t>Gibraltar 2012 (8)</t>
  </si>
  <si>
    <t>Maxime Vachier-Lagrave – Wang Hao</t>
  </si>
  <si>
    <t>Wijk aan Zee 2011 (1)</t>
  </si>
  <si>
    <t>Vasyl Ivanchuk – Boris Gelfand</t>
  </si>
  <si>
    <t>Monaco rapide 2011 (8)</t>
  </si>
  <si>
    <t>Ivan Šarić – Niclas Huschenbeth</t>
  </si>
  <si>
    <t>★★★</t>
  </si>
  <si>
    <t>Partie d’entraînement, Konstantin Sakaev</t>
  </si>
  <si>
    <t>Yasser Seirawan – Anatoly Karpov</t>
  </si>
  <si>
    <t>Hambourg 1982 (3)</t>
  </si>
  <si>
    <t>Viswanathan Anand – Garry Kasparov</t>
  </si>
  <si>
    <t>Linares 1999 (10)</t>
  </si>
  <si>
    <t>Vladimir Kramnik – Magnus Carlsen</t>
  </si>
  <si>
    <t>Moscou 2011 (3)</t>
  </si>
  <si>
    <t>Alexander Lastin – Dmitry Kononenko</t>
  </si>
  <si>
    <t>Russie par éq. 2009 (2)</t>
  </si>
  <si>
    <t>Anish Giri – Mateusz Bartel</t>
  </si>
  <si>
    <t>Rhodes par éq. 2013 (6)</t>
  </si>
  <si>
    <t>Efim Geller – Andrzej Filipowicz</t>
  </si>
  <si>
    <t>Budapest 1970</t>
  </si>
  <si>
    <t>Elmar Magerramov – Garry Kasparov</t>
  </si>
  <si>
    <t>Bakou 1977</t>
  </si>
  <si>
    <t>Boris Spassky – Leonid Stein</t>
  </si>
  <si>
    <t>Moscou ch-URSS départage 1964 (1)</t>
  </si>
  <si>
    <t>Baadur Jobava – Shakhriyar Mamedyarov</t>
  </si>
  <si>
    <t>John Nunn – Paul van der Sterren</t>
  </si>
  <si>
    <t>Allemagne Bundesliga 1995/96 (1)</t>
  </si>
  <si>
    <t>Joël Lautier – Anatoly Karpov</t>
  </si>
  <si>
    <t>Linares 1995 (8)</t>
  </si>
  <si>
    <t>Konstantin Sakaev – Vladimir Belov</t>
  </si>
  <si>
    <t>Krasnoïarsk ch-RUS 2003 (5)</t>
  </si>
  <si>
    <t>Viswanathan Anand – Wang Hao</t>
  </si>
  <si>
    <t>Wijk aan Zee 2011 (4)</t>
  </si>
  <si>
    <t>José Raúl Capablanca – Alexandre Alekhine</t>
  </si>
  <si>
    <t>Buenos Aires match ChM 1927 (7)</t>
  </si>
  <si>
    <t>Maxim Turov – Arkadij Naiditsch</t>
  </si>
  <si>
    <t>Wijk aan Zee 2013 (3)</t>
  </si>
  <si>
    <t>Anatoly Karpov – Viktor Kortchnoi</t>
  </si>
  <si>
    <t>Bienne 1992 (3)</t>
  </si>
  <si>
    <t>Alexandre Alekhine – José Raúl Capablanca</t>
  </si>
  <si>
    <t>Buenos Aires match ChM 1927 (34)</t>
  </si>
  <si>
    <t>Vladimir Kramnik – Evgeny Bareev</t>
  </si>
  <si>
    <t>Kazan par éq. 1997 (2)</t>
  </si>
  <si>
    <t>Vasyl Ivanchuk – Veselin Topalov</t>
  </si>
  <si>
    <t>Novgorod 1996 (8)</t>
  </si>
  <si>
    <t>Moscou ct match 1974 (2)</t>
  </si>
  <si>
    <t>Viswanathan Anand – Gata Kamsky</t>
  </si>
  <si>
    <t>Las Palmas match 1995 (11)</t>
  </si>
  <si>
    <t>Yuri Balashov – Artur Jussupow</t>
  </si>
  <si>
    <t>Minsk 1982 (1)</t>
  </si>
  <si>
    <t>Nigel Short – Sergey Azarov</t>
  </si>
  <si>
    <t>Calvia ol 2004 (12)</t>
  </si>
  <si>
    <t>Moscou match ChM 1984 (27)</t>
  </si>
  <si>
    <t>Sergey Iskusnikh – Vladimir Malakhov</t>
  </si>
  <si>
    <t>Russie par éq. 2012 (1)</t>
  </si>
  <si>
    <t>Tigran Petrosian – Herman Pilnik</t>
  </si>
  <si>
    <t>Amsterdam ct 1956 (6)</t>
  </si>
  <si>
    <t>Montréal 1979 (4)</t>
  </si>
  <si>
    <t>Magnus Carlsen – Levon Aronian</t>
  </si>
  <si>
    <t>Wijk aan Zee 2012 (3)</t>
  </si>
  <si>
    <t>Vladimir Kramnik – Vadim Zviagintsev</t>
  </si>
  <si>
    <t>Tilburg 1998 (10)</t>
  </si>
  <si>
    <t>Moscou ch-URSS 1940 (17)</t>
  </si>
  <si>
    <t>Belgrade 1997 (6)</t>
  </si>
  <si>
    <t>Vasyl Ivanchuk – Vladimir Kramnik</t>
  </si>
  <si>
    <t>Las Palmas 1996 (5)</t>
  </si>
  <si>
    <t>Aaron Nimzowitsch – Akiba Rubinstein</t>
  </si>
  <si>
    <t>Dresde 1926 (5)</t>
  </si>
  <si>
    <t>David Janowsky – José Raúl Capablanca</t>
  </si>
  <si>
    <t>New York 1916 (3)</t>
  </si>
  <si>
    <t>Sergey Kariakin – Predrag Nikolić</t>
  </si>
  <si>
    <t>Wijk aan Zee 2005 (7)</t>
  </si>
  <si>
    <t>Londres Match ChM 1986 (5)</t>
  </si>
  <si>
    <t>Michael Adams – Anatoly Karpov</t>
  </si>
  <si>
    <t>Las Palmas 1994 (9)</t>
  </si>
  <si>
    <t>Konstantin Sakaev – Sergey Tiviakov</t>
  </si>
  <si>
    <t>Anatoly Karpov – Alexey Shirov</t>
  </si>
  <si>
    <t>Bienne 1992 (13)</t>
  </si>
  <si>
    <t>Evgeny Bareev – Péter Lékó</t>
  </si>
  <si>
    <t>Wijk aan Zee 1995 (2)</t>
  </si>
  <si>
    <t>Baadur Jobava – Vasyl Ivanchuk</t>
  </si>
  <si>
    <t>La Havane 2005 (9)</t>
  </si>
  <si>
    <t>Robert Fischer – Pál Benkő</t>
  </si>
  <si>
    <t>New York ch-USA 1965 (4)</t>
  </si>
  <si>
    <t>Viktor Kortchnoi – Efim Geller</t>
  </si>
  <si>
    <t>Moscou par éq. 1963 (1)</t>
  </si>
  <si>
    <t>Boris Spassky – Robert Fischer</t>
  </si>
  <si>
    <t>Reykjavik Match ChM 1972 (3)</t>
  </si>
  <si>
    <t>Moscou Match ChM 1985 (4)</t>
  </si>
  <si>
    <t>Dmitry Kryakvin – Murtas Kazhgaleev</t>
  </si>
  <si>
    <t>Saint-Pétersbourg 2009 (8)</t>
  </si>
  <si>
    <t>Anatoly Karpov – Vlastimil Hort</t>
  </si>
  <si>
    <t>Moscou 1971 (11)</t>
  </si>
  <si>
    <t>Vladimir Potkin – Nils Grandelius</t>
  </si>
  <si>
    <t>Allemagne Bundesliga 2011/12 (8)</t>
  </si>
  <si>
    <t>Mikhail Botvinnik – David Bronstein</t>
  </si>
  <si>
    <t>Moscou Match ChM 1951 (23)</t>
  </si>
  <si>
    <t>Vladimir Kramnik – Viswanathan Anand</t>
  </si>
  <si>
    <t>Wijk aan Zee 2007 (6)</t>
  </si>
  <si>
    <t>Alexander Khalifman – Vladimir Kramnik</t>
  </si>
  <si>
    <t>Linares 2000 (1)</t>
  </si>
  <si>
    <t>Magnus Carlsen – Sergey Kariakin</t>
  </si>
  <si>
    <t>Wijk aan Zee 2013 (8)</t>
  </si>
  <si>
    <t>Jan Timman – Mikhail Tal</t>
  </si>
  <si>
    <t>Tallinn 1973 (9)</t>
  </si>
  <si>
    <t>Mikhail Botvinnik – Tigran Petrosian</t>
  </si>
  <si>
    <t>Moscou Match ChM 1963 (14)</t>
  </si>
  <si>
    <t>Vasyl Ivanchuk – Garry Kasparov</t>
  </si>
  <si>
    <t>Linares 1991 (1)</t>
  </si>
  <si>
    <t>Bilbao 2010 (1)</t>
  </si>
  <si>
    <t>Borislav Ivkov – Bent Larsen</t>
  </si>
  <si>
    <t>Bled match 1965 (6)</t>
  </si>
  <si>
    <t>Vladimir Kramnik – Péter Lékó</t>
  </si>
  <si>
    <t>Tilburg 1998 (6)</t>
  </si>
  <si>
    <t>Anatoly Karpov – Artur Jussupow</t>
  </si>
  <si>
    <t>Moscou ch-URSS 1988 (9)</t>
  </si>
  <si>
    <t>Boris Gelfand – Sébastien Feller</t>
  </si>
  <si>
    <t>Ohrid par éq. 2009 (7)</t>
  </si>
  <si>
    <t>Veselin Topalov – Vladimir Kramnik</t>
  </si>
  <si>
    <t>Belgrade 1995 (6)</t>
  </si>
  <si>
    <t>Wolfgang Uhlmann – Efim Geller</t>
  </si>
  <si>
    <t>Palma de Majorque izt 1970 (9)</t>
  </si>
  <si>
    <t>Evgeny Bareev – Artur Jussupow</t>
  </si>
  <si>
    <t>Francfort rapide 2000 (14)</t>
  </si>
  <si>
    <t>Vladimir Kramnik – Grigory Serper</t>
  </si>
  <si>
    <t>Dortmund 1993 (3)</t>
  </si>
  <si>
    <t>Vladimir Tukmakov – Evgeny Bareev</t>
  </si>
  <si>
    <t>Elista 1998 (1)</t>
  </si>
  <si>
    <t>Nigel Short – Jan Timman</t>
  </si>
  <si>
    <t>Tilburg 1991 (4)</t>
  </si>
  <si>
    <t>Vladimir Genba – Alexander Moiseenko</t>
  </si>
  <si>
    <t>Saint-Pétersbourg 2000 (8)</t>
  </si>
  <si>
    <t>Max Euwe – Efim Geller</t>
  </si>
  <si>
    <t>Zurich ct 1953 (17)</t>
  </si>
  <si>
    <t>Vugar Gashimov – Alexander Grischuk</t>
  </si>
  <si>
    <t>Bursa ChM par éq. 2010 (4)</t>
  </si>
  <si>
    <t>Anatoly Karpov – Sergey Dolmatov</t>
  </si>
  <si>
    <t>Amsterdam 1980 (5)</t>
  </si>
  <si>
    <t>Anthony Wirig – Murtas Kazhgaleev</t>
  </si>
  <si>
    <t>France par éq. 2003 (4)</t>
  </si>
  <si>
    <t>Loek van Wely – Hikaru Nakamura</t>
  </si>
  <si>
    <t>Péter Lékó – Alexander Khalifman</t>
  </si>
  <si>
    <t>Istanbul ol 2000 (3)</t>
  </si>
  <si>
    <t>Teimour Radjabov – Vasyl Ivanchuk</t>
  </si>
  <si>
    <t>Londres 2013 (2)</t>
  </si>
  <si>
    <t>Magnus Carlsen – Anish Giri</t>
  </si>
  <si>
    <t>Wijk aan Zee 2012 (5)</t>
  </si>
  <si>
    <t>Viswanathan Anand – Vladimir Kramnik</t>
  </si>
  <si>
    <t>Dortmund 2004 (1)</t>
  </si>
  <si>
    <t>Où en suis-je ?</t>
  </si>
  <si>
    <t>Premier passage  ★</t>
  </si>
  <si>
    <t>sur 56</t>
  </si>
  <si>
    <t>Deuxième passage  ★★</t>
  </si>
  <si>
    <t>sur 112</t>
  </si>
  <si>
    <t>Troisième passage  ★★★</t>
  </si>
  <si>
    <t>sur 80</t>
  </si>
  <si>
    <t>Thème</t>
  </si>
  <si>
    <t>Exemples</t>
  </si>
  <si>
    <t>Faits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</si>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</sst>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7" x14ac:knownFonts="1">
    <font>
      <sz val="11"/>
      <color theme="1"/>
      <name val="Calibri"/>
      <family val="2"/>
      <scheme val="minor"/>
    </font>
    <font>
      <b/>
      <sz val="18"/>
      <color rgb="FFD7141E"/>
      <name val="Calibri"/>
    </font>
    <font>
      <i/>
      <sz val="11"/>
      <color rgb="FF666666"/>
      <name val="Calibri"/>
    </font>
    <font>
      <sz val="11"/>
      <name val="Calibri"/>
    </font>
    <font>
      <b/>
      <sz val="12"/>
      <color rgb="FFD7141E"/>
      <name val="Calibri"/>
    </font>
    <font>
      <b/>
      <sz val="11"/>
      <name val="Calibri"/>
    </font>
    <font>
      <sz val="11"/>
      <color rgb="FFD7141E"/>
      <name val="Segoe UI Symbol"/>
    </font>
  </fonts>
  <fills count="4">
    <fill>
      <patternFill patternType="none"/>
    </fill>
    <fill>
      <patternFill patternType="gray125"/>
    </fill>
    <fill>
      <patternFill patternType="solid">
        <fgColor rgb="FFDDF0F2"/>
      </patternFill>
    </fill>
    <fill>
      <patternFill patternType="solid">
        <fgColor rgb="FFFFF7D6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medium">
        <color rgb="FF333333"/>
      </top>
      <bottom style="thin">
        <color rgb="FF99999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164" fontId="5" fillId="0" borderId="0" xfId="0" applyNumberFormat="1" applyFont="1"/>
    <xf numFmtId="0" fontId="6" fillId="2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1">
    <dxf>
      <font>
        <color rgb="FF999999"/>
      </font>
      <fill>
        <patternFill patternType="solid">
          <fgColor rgb="FFEEEEE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tabSelected="1" workbookViewId="0"/>
  </sheetViews>
  <sheetFormatPr baseColWidth="10" defaultColWidth="9.140625" defaultRowHeight="15" x14ac:dyDescent="0.25"/>
  <cols>
    <col min="1" max="1" width="100" customWidth="1"/>
  </cols>
  <sheetData>
    <row r="1" spans="1:1" ht="23.25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/>
    </row>
    <row r="4" spans="1:1" ht="45" x14ac:dyDescent="0.25">
      <c r="A4" s="3" t="s">
        <v>2</v>
      </c>
    </row>
    <row r="5" spans="1:1" x14ac:dyDescent="0.25">
      <c r="A5" s="3"/>
    </row>
    <row r="6" spans="1:1" ht="30" x14ac:dyDescent="0.25">
      <c r="A6" s="3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/>
    </row>
    <row r="11" spans="1:1" ht="15.75" x14ac:dyDescent="0.25">
      <c r="A11" s="4" t="s">
        <v>7</v>
      </c>
    </row>
    <row r="12" spans="1:1" ht="30" x14ac:dyDescent="0.25">
      <c r="A12" s="3" t="s">
        <v>8</v>
      </c>
    </row>
    <row r="13" spans="1:1" ht="30" x14ac:dyDescent="0.25">
      <c r="A13" s="3" t="s">
        <v>9</v>
      </c>
    </row>
    <row r="14" spans="1:1" x14ac:dyDescent="0.25">
      <c r="A14" s="3" t="s">
        <v>10</v>
      </c>
    </row>
    <row r="15" spans="1:1" ht="30" x14ac:dyDescent="0.25">
      <c r="A15" s="3" t="s">
        <v>11</v>
      </c>
    </row>
    <row r="16" spans="1:1" x14ac:dyDescent="0.25">
      <c r="A16" s="3" t="s">
        <v>12</v>
      </c>
    </row>
    <row r="17" spans="1:1" x14ac:dyDescent="0.25">
      <c r="A17" s="3"/>
    </row>
    <row r="18" spans="1:1" ht="15.75" x14ac:dyDescent="0.25">
      <c r="A18" s="4" t="s">
        <v>13</v>
      </c>
    </row>
    <row r="19" spans="1:1" ht="30" x14ac:dyDescent="0.25">
      <c r="A19" s="3" t="s">
        <v>14</v>
      </c>
    </row>
  </sheetData>
  <printOptions horizontalCentered="1"/>
  <pageMargins left="0.5" right="0.5" top="0.6" bottom="0.6" header="0.5" footer="0.5"/>
  <pageSetup paperSize="9" fitToHeight="0" orientation="portrait"/>
  <headerFooter>
    <oddFooter>&amp;C&amp;8 Le parcours en trois niveaux — Manuel complet du jeu positionnel, tome 1 — olibris.fr/sakaev1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9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7" customWidth="1"/>
    <col min="2" max="2" width="9" customWidth="1"/>
    <col min="3" max="3" width="6" customWidth="1"/>
    <col min="4" max="4" width="7" customWidth="1"/>
    <col min="5" max="5" width="10" customWidth="1"/>
    <col min="6" max="6" width="38" customWidth="1"/>
    <col min="7" max="7" width="34" customWidth="1"/>
    <col min="8" max="8" width="30" customWidth="1"/>
    <col min="9" max="9" width="11" customWidth="1"/>
    <col min="10" max="10" width="30" customWidth="1"/>
  </cols>
  <sheetData>
    <row r="1" spans="1:10" x14ac:dyDescent="0.25">
      <c r="A1" s="5" t="s">
        <v>15</v>
      </c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</row>
    <row r="2" spans="1:10" ht="16.5" x14ac:dyDescent="0.25">
      <c r="A2" s="6"/>
      <c r="B2" s="7" t="s">
        <v>25</v>
      </c>
      <c r="C2" s="8">
        <v>1</v>
      </c>
      <c r="D2" s="8">
        <v>15</v>
      </c>
      <c r="E2" s="8">
        <v>1</v>
      </c>
      <c r="F2" s="9" t="s">
        <v>26</v>
      </c>
      <c r="G2" s="9" t="s">
        <v>27</v>
      </c>
      <c r="H2" s="9" t="s">
        <v>28</v>
      </c>
      <c r="I2" s="10"/>
      <c r="J2" s="10"/>
    </row>
    <row r="3" spans="1:10" ht="16.5" x14ac:dyDescent="0.25">
      <c r="A3" s="6"/>
      <c r="B3" s="7" t="s">
        <v>25</v>
      </c>
      <c r="C3" s="8">
        <v>6</v>
      </c>
      <c r="D3" s="8">
        <v>23</v>
      </c>
      <c r="E3" s="8">
        <v>2</v>
      </c>
      <c r="F3" s="9" t="s">
        <v>29</v>
      </c>
      <c r="G3" s="9" t="s">
        <v>30</v>
      </c>
      <c r="H3" s="9" t="s">
        <v>31</v>
      </c>
      <c r="I3" s="10"/>
      <c r="J3" s="10"/>
    </row>
    <row r="4" spans="1:10" ht="16.5" x14ac:dyDescent="0.25">
      <c r="A4" s="6"/>
      <c r="B4" s="7" t="s">
        <v>25</v>
      </c>
      <c r="C4" s="8">
        <v>7</v>
      </c>
      <c r="D4" s="8">
        <v>24</v>
      </c>
      <c r="E4" s="8">
        <v>2</v>
      </c>
      <c r="F4" s="9" t="s">
        <v>29</v>
      </c>
      <c r="G4" s="9" t="s">
        <v>32</v>
      </c>
      <c r="H4" s="9" t="s">
        <v>33</v>
      </c>
      <c r="I4" s="10"/>
      <c r="J4" s="10"/>
    </row>
    <row r="5" spans="1:10" ht="16.5" x14ac:dyDescent="0.25">
      <c r="A5" s="6"/>
      <c r="B5" s="7" t="s">
        <v>25</v>
      </c>
      <c r="C5" s="8">
        <v>8</v>
      </c>
      <c r="D5" s="8">
        <v>25</v>
      </c>
      <c r="E5" s="8">
        <v>2</v>
      </c>
      <c r="F5" s="9" t="s">
        <v>29</v>
      </c>
      <c r="G5" s="9" t="s">
        <v>34</v>
      </c>
      <c r="H5" s="9" t="s">
        <v>35</v>
      </c>
      <c r="I5" s="10"/>
      <c r="J5" s="10"/>
    </row>
    <row r="6" spans="1:10" ht="30" x14ac:dyDescent="0.25">
      <c r="A6" s="6"/>
      <c r="B6" s="7" t="s">
        <v>25</v>
      </c>
      <c r="C6" s="8">
        <v>13</v>
      </c>
      <c r="D6" s="8">
        <v>35</v>
      </c>
      <c r="E6" s="8">
        <v>3</v>
      </c>
      <c r="F6" s="9" t="s">
        <v>36</v>
      </c>
      <c r="G6" s="9" t="s">
        <v>37</v>
      </c>
      <c r="H6" s="9" t="s">
        <v>38</v>
      </c>
      <c r="I6" s="10"/>
      <c r="J6" s="10"/>
    </row>
    <row r="7" spans="1:10" ht="30" x14ac:dyDescent="0.25">
      <c r="A7" s="6"/>
      <c r="B7" s="7" t="s">
        <v>25</v>
      </c>
      <c r="C7" s="8">
        <v>17</v>
      </c>
      <c r="D7" s="8">
        <v>41</v>
      </c>
      <c r="E7" s="8">
        <v>4</v>
      </c>
      <c r="F7" s="9" t="s">
        <v>39</v>
      </c>
      <c r="G7" s="9" t="s">
        <v>40</v>
      </c>
      <c r="H7" s="9" t="s">
        <v>41</v>
      </c>
      <c r="I7" s="10"/>
      <c r="J7" s="10"/>
    </row>
    <row r="8" spans="1:10" ht="16.5" x14ac:dyDescent="0.25">
      <c r="A8" s="6"/>
      <c r="B8" s="7" t="s">
        <v>25</v>
      </c>
      <c r="C8" s="8">
        <v>26</v>
      </c>
      <c r="D8" s="8">
        <v>53</v>
      </c>
      <c r="E8" s="8">
        <v>6</v>
      </c>
      <c r="F8" s="9" t="s">
        <v>42</v>
      </c>
      <c r="G8" s="9" t="s">
        <v>43</v>
      </c>
      <c r="H8" s="9" t="s">
        <v>44</v>
      </c>
      <c r="I8" s="10"/>
      <c r="J8" s="10"/>
    </row>
    <row r="9" spans="1:10" ht="30" x14ac:dyDescent="0.25">
      <c r="A9" s="6"/>
      <c r="B9" s="7" t="s">
        <v>25</v>
      </c>
      <c r="C9" s="8">
        <v>27</v>
      </c>
      <c r="D9" s="8">
        <v>53</v>
      </c>
      <c r="E9" s="8">
        <v>6</v>
      </c>
      <c r="F9" s="9" t="s">
        <v>42</v>
      </c>
      <c r="G9" s="9" t="s">
        <v>45</v>
      </c>
      <c r="H9" s="9" t="s">
        <v>46</v>
      </c>
      <c r="I9" s="10"/>
      <c r="J9" s="10"/>
    </row>
    <row r="10" spans="1:10" ht="30" x14ac:dyDescent="0.25">
      <c r="A10" s="6"/>
      <c r="B10" s="7" t="s">
        <v>25</v>
      </c>
      <c r="C10" s="8">
        <v>31</v>
      </c>
      <c r="D10" s="8">
        <v>61</v>
      </c>
      <c r="E10" s="8">
        <v>7</v>
      </c>
      <c r="F10" s="9" t="s">
        <v>47</v>
      </c>
      <c r="G10" s="9" t="s">
        <v>48</v>
      </c>
      <c r="H10" s="9" t="s">
        <v>49</v>
      </c>
      <c r="I10" s="10"/>
      <c r="J10" s="10"/>
    </row>
    <row r="11" spans="1:10" ht="30" x14ac:dyDescent="0.25">
      <c r="A11" s="6"/>
      <c r="B11" s="7" t="s">
        <v>25</v>
      </c>
      <c r="C11" s="8">
        <v>35</v>
      </c>
      <c r="D11" s="8">
        <v>70</v>
      </c>
      <c r="E11" s="8">
        <v>8</v>
      </c>
      <c r="F11" s="9" t="s">
        <v>50</v>
      </c>
      <c r="G11" s="9" t="s">
        <v>51</v>
      </c>
      <c r="H11" s="9" t="s">
        <v>52</v>
      </c>
      <c r="I11" s="10"/>
      <c r="J11" s="10"/>
    </row>
    <row r="12" spans="1:10" ht="16.5" x14ac:dyDescent="0.25">
      <c r="A12" s="6"/>
      <c r="B12" s="7" t="s">
        <v>25</v>
      </c>
      <c r="C12" s="8">
        <v>38</v>
      </c>
      <c r="D12" s="8">
        <v>75</v>
      </c>
      <c r="E12" s="8">
        <v>9</v>
      </c>
      <c r="F12" s="9" t="s">
        <v>53</v>
      </c>
      <c r="G12" s="9" t="s">
        <v>54</v>
      </c>
      <c r="H12" s="9" t="s">
        <v>55</v>
      </c>
      <c r="I12" s="10"/>
      <c r="J12" s="10"/>
    </row>
    <row r="13" spans="1:10" ht="30" x14ac:dyDescent="0.25">
      <c r="A13" s="6"/>
      <c r="B13" s="7" t="s">
        <v>25</v>
      </c>
      <c r="C13" s="8">
        <v>39</v>
      </c>
      <c r="D13" s="8">
        <v>76</v>
      </c>
      <c r="E13" s="8">
        <v>9</v>
      </c>
      <c r="F13" s="9" t="s">
        <v>53</v>
      </c>
      <c r="G13" s="9" t="s">
        <v>56</v>
      </c>
      <c r="H13" s="9" t="s">
        <v>57</v>
      </c>
      <c r="I13" s="10"/>
      <c r="J13" s="10"/>
    </row>
    <row r="14" spans="1:10" ht="16.5" x14ac:dyDescent="0.25">
      <c r="A14" s="6"/>
      <c r="B14" s="7" t="s">
        <v>25</v>
      </c>
      <c r="C14" s="8">
        <v>46</v>
      </c>
      <c r="D14" s="8">
        <v>89</v>
      </c>
      <c r="E14" s="8">
        <v>10</v>
      </c>
      <c r="F14" s="9" t="s">
        <v>58</v>
      </c>
      <c r="G14" s="9" t="s">
        <v>59</v>
      </c>
      <c r="H14" s="9" t="s">
        <v>60</v>
      </c>
      <c r="I14" s="10"/>
      <c r="J14" s="10"/>
    </row>
    <row r="15" spans="1:10" ht="16.5" x14ac:dyDescent="0.25">
      <c r="A15" s="6"/>
      <c r="B15" s="7" t="s">
        <v>25</v>
      </c>
      <c r="C15" s="8">
        <v>47</v>
      </c>
      <c r="D15" s="8">
        <v>90</v>
      </c>
      <c r="E15" s="8">
        <v>10</v>
      </c>
      <c r="F15" s="9" t="s">
        <v>58</v>
      </c>
      <c r="G15" s="9" t="s">
        <v>61</v>
      </c>
      <c r="H15" s="9" t="s">
        <v>62</v>
      </c>
      <c r="I15" s="10"/>
      <c r="J15" s="10"/>
    </row>
    <row r="16" spans="1:10" ht="16.5" x14ac:dyDescent="0.25">
      <c r="A16" s="6"/>
      <c r="B16" s="7" t="s">
        <v>25</v>
      </c>
      <c r="C16" s="8">
        <v>55</v>
      </c>
      <c r="D16" s="8">
        <v>101</v>
      </c>
      <c r="E16" s="8">
        <v>11</v>
      </c>
      <c r="F16" s="9" t="s">
        <v>63</v>
      </c>
      <c r="G16" s="9" t="s">
        <v>64</v>
      </c>
      <c r="H16" s="9" t="s">
        <v>65</v>
      </c>
      <c r="I16" s="10"/>
      <c r="J16" s="10"/>
    </row>
    <row r="17" spans="1:10" ht="16.5" x14ac:dyDescent="0.25">
      <c r="A17" s="6"/>
      <c r="B17" s="7" t="s">
        <v>25</v>
      </c>
      <c r="C17" s="8">
        <v>56</v>
      </c>
      <c r="D17" s="8">
        <v>102</v>
      </c>
      <c r="E17" s="8">
        <v>11</v>
      </c>
      <c r="F17" s="9" t="s">
        <v>63</v>
      </c>
      <c r="G17" s="9" t="s">
        <v>66</v>
      </c>
      <c r="H17" s="9" t="s">
        <v>67</v>
      </c>
      <c r="I17" s="10"/>
      <c r="J17" s="10"/>
    </row>
    <row r="18" spans="1:10" ht="30" x14ac:dyDescent="0.25">
      <c r="A18" s="6"/>
      <c r="B18" s="7" t="s">
        <v>25</v>
      </c>
      <c r="C18" s="8">
        <v>64</v>
      </c>
      <c r="D18" s="8">
        <v>115</v>
      </c>
      <c r="E18" s="8">
        <v>12</v>
      </c>
      <c r="F18" s="9" t="s">
        <v>68</v>
      </c>
      <c r="G18" s="9" t="s">
        <v>69</v>
      </c>
      <c r="H18" s="9" t="s">
        <v>70</v>
      </c>
      <c r="I18" s="10"/>
      <c r="J18" s="10"/>
    </row>
    <row r="19" spans="1:10" ht="30" x14ac:dyDescent="0.25">
      <c r="A19" s="6"/>
      <c r="B19" s="7" t="s">
        <v>25</v>
      </c>
      <c r="C19" s="8">
        <v>72</v>
      </c>
      <c r="D19" s="8">
        <v>127</v>
      </c>
      <c r="E19" s="8">
        <v>13</v>
      </c>
      <c r="F19" s="9" t="s">
        <v>71</v>
      </c>
      <c r="G19" s="9" t="s">
        <v>72</v>
      </c>
      <c r="H19" s="9" t="s">
        <v>73</v>
      </c>
      <c r="I19" s="10"/>
      <c r="J19" s="10"/>
    </row>
    <row r="20" spans="1:10" ht="30" x14ac:dyDescent="0.25">
      <c r="A20" s="6"/>
      <c r="B20" s="7" t="s">
        <v>25</v>
      </c>
      <c r="C20" s="8">
        <v>73</v>
      </c>
      <c r="D20" s="8">
        <v>128</v>
      </c>
      <c r="E20" s="8">
        <v>13</v>
      </c>
      <c r="F20" s="9" t="s">
        <v>71</v>
      </c>
      <c r="G20" s="9" t="s">
        <v>74</v>
      </c>
      <c r="H20" s="9" t="s">
        <v>75</v>
      </c>
      <c r="I20" s="10"/>
      <c r="J20" s="10"/>
    </row>
    <row r="21" spans="1:10" ht="30" x14ac:dyDescent="0.25">
      <c r="A21" s="6"/>
      <c r="B21" s="7" t="s">
        <v>25</v>
      </c>
      <c r="C21" s="8">
        <v>75</v>
      </c>
      <c r="D21" s="8">
        <v>130</v>
      </c>
      <c r="E21" s="8">
        <v>13</v>
      </c>
      <c r="F21" s="9" t="s">
        <v>71</v>
      </c>
      <c r="G21" s="9" t="s">
        <v>76</v>
      </c>
      <c r="H21" s="9"/>
      <c r="I21" s="10"/>
      <c r="J21" s="10"/>
    </row>
    <row r="22" spans="1:10" ht="30" x14ac:dyDescent="0.25">
      <c r="A22" s="6"/>
      <c r="B22" s="7" t="s">
        <v>25</v>
      </c>
      <c r="C22" s="8">
        <v>83</v>
      </c>
      <c r="D22" s="8">
        <v>139</v>
      </c>
      <c r="E22" s="8">
        <v>14</v>
      </c>
      <c r="F22" s="9" t="s">
        <v>77</v>
      </c>
      <c r="G22" s="9" t="s">
        <v>78</v>
      </c>
      <c r="H22" s="9" t="s">
        <v>79</v>
      </c>
      <c r="I22" s="10"/>
      <c r="J22" s="10"/>
    </row>
    <row r="23" spans="1:10" ht="45" x14ac:dyDescent="0.25">
      <c r="A23" s="6"/>
      <c r="B23" s="7" t="s">
        <v>25</v>
      </c>
      <c r="C23" s="8">
        <v>91</v>
      </c>
      <c r="D23" s="8">
        <v>151</v>
      </c>
      <c r="E23" s="8">
        <v>15</v>
      </c>
      <c r="F23" s="9" t="s">
        <v>80</v>
      </c>
      <c r="G23" s="9" t="s">
        <v>81</v>
      </c>
      <c r="H23" s="9" t="s">
        <v>82</v>
      </c>
      <c r="I23" s="10"/>
      <c r="J23" s="10"/>
    </row>
    <row r="24" spans="1:10" ht="16.5" x14ac:dyDescent="0.25">
      <c r="A24" s="6"/>
      <c r="B24" s="7" t="s">
        <v>25</v>
      </c>
      <c r="C24" s="8">
        <v>111</v>
      </c>
      <c r="D24" s="8">
        <v>171</v>
      </c>
      <c r="E24" s="8">
        <v>16</v>
      </c>
      <c r="F24" s="9" t="s">
        <v>83</v>
      </c>
      <c r="G24" s="9" t="s">
        <v>84</v>
      </c>
      <c r="H24" s="9" t="s">
        <v>49</v>
      </c>
      <c r="I24" s="10"/>
      <c r="J24" s="10"/>
    </row>
    <row r="25" spans="1:10" ht="16.5" x14ac:dyDescent="0.25">
      <c r="A25" s="6"/>
      <c r="B25" s="7" t="s">
        <v>25</v>
      </c>
      <c r="C25" s="8">
        <v>112</v>
      </c>
      <c r="D25" s="8">
        <v>171</v>
      </c>
      <c r="E25" s="8">
        <v>16</v>
      </c>
      <c r="F25" s="9" t="s">
        <v>83</v>
      </c>
      <c r="G25" s="9" t="s">
        <v>85</v>
      </c>
      <c r="H25" s="9" t="s">
        <v>86</v>
      </c>
      <c r="I25" s="10"/>
      <c r="J25" s="10"/>
    </row>
    <row r="26" spans="1:10" ht="16.5" x14ac:dyDescent="0.25">
      <c r="A26" s="6"/>
      <c r="B26" s="7" t="s">
        <v>25</v>
      </c>
      <c r="C26" s="8">
        <v>113</v>
      </c>
      <c r="D26" s="8">
        <v>172</v>
      </c>
      <c r="E26" s="8">
        <v>16</v>
      </c>
      <c r="F26" s="9" t="s">
        <v>83</v>
      </c>
      <c r="G26" s="9" t="s">
        <v>87</v>
      </c>
      <c r="H26" s="9" t="s">
        <v>88</v>
      </c>
      <c r="I26" s="10"/>
      <c r="J26" s="10"/>
    </row>
    <row r="27" spans="1:10" ht="30" x14ac:dyDescent="0.25">
      <c r="A27" s="6"/>
      <c r="B27" s="7" t="s">
        <v>25</v>
      </c>
      <c r="C27" s="8">
        <v>121</v>
      </c>
      <c r="D27" s="8">
        <v>183</v>
      </c>
      <c r="E27" s="8">
        <v>17</v>
      </c>
      <c r="F27" s="9" t="s">
        <v>89</v>
      </c>
      <c r="G27" s="9" t="s">
        <v>90</v>
      </c>
      <c r="H27" s="9" t="s">
        <v>91</v>
      </c>
      <c r="I27" s="10"/>
      <c r="J27" s="10"/>
    </row>
    <row r="28" spans="1:10" ht="30" x14ac:dyDescent="0.25">
      <c r="A28" s="6"/>
      <c r="B28" s="7" t="s">
        <v>25</v>
      </c>
      <c r="C28" s="8">
        <v>136</v>
      </c>
      <c r="D28" s="8">
        <v>203</v>
      </c>
      <c r="E28" s="8">
        <v>18</v>
      </c>
      <c r="F28" s="9" t="s">
        <v>92</v>
      </c>
      <c r="G28" s="9" t="s">
        <v>93</v>
      </c>
      <c r="H28" s="9" t="s">
        <v>94</v>
      </c>
      <c r="I28" s="10"/>
      <c r="J28" s="10"/>
    </row>
    <row r="29" spans="1:10" ht="30" x14ac:dyDescent="0.25">
      <c r="A29" s="6"/>
      <c r="B29" s="7" t="s">
        <v>25</v>
      </c>
      <c r="C29" s="8">
        <v>137</v>
      </c>
      <c r="D29" s="8">
        <v>204</v>
      </c>
      <c r="E29" s="8">
        <v>18</v>
      </c>
      <c r="F29" s="9" t="s">
        <v>92</v>
      </c>
      <c r="G29" s="9" t="s">
        <v>95</v>
      </c>
      <c r="H29" s="9" t="s">
        <v>96</v>
      </c>
      <c r="I29" s="10"/>
      <c r="J29" s="10"/>
    </row>
    <row r="30" spans="1:10" ht="30" x14ac:dyDescent="0.25">
      <c r="A30" s="6"/>
      <c r="B30" s="7" t="s">
        <v>25</v>
      </c>
      <c r="C30" s="8">
        <v>138</v>
      </c>
      <c r="D30" s="8">
        <v>204</v>
      </c>
      <c r="E30" s="8">
        <v>18</v>
      </c>
      <c r="F30" s="9" t="s">
        <v>92</v>
      </c>
      <c r="G30" s="9" t="s">
        <v>97</v>
      </c>
      <c r="H30" s="9" t="s">
        <v>98</v>
      </c>
      <c r="I30" s="10"/>
      <c r="J30" s="10"/>
    </row>
    <row r="31" spans="1:10" ht="30" x14ac:dyDescent="0.25">
      <c r="A31" s="6"/>
      <c r="B31" s="7" t="s">
        <v>25</v>
      </c>
      <c r="C31" s="8">
        <v>139</v>
      </c>
      <c r="D31" s="8">
        <v>205</v>
      </c>
      <c r="E31" s="8">
        <v>18</v>
      </c>
      <c r="F31" s="9" t="s">
        <v>92</v>
      </c>
      <c r="G31" s="9" t="s">
        <v>99</v>
      </c>
      <c r="H31" s="9" t="s">
        <v>100</v>
      </c>
      <c r="I31" s="10"/>
      <c r="J31" s="10"/>
    </row>
    <row r="32" spans="1:10" ht="30" x14ac:dyDescent="0.25">
      <c r="A32" s="6"/>
      <c r="B32" s="7" t="s">
        <v>25</v>
      </c>
      <c r="C32" s="8">
        <v>140</v>
      </c>
      <c r="D32" s="8">
        <v>206</v>
      </c>
      <c r="E32" s="8">
        <v>18</v>
      </c>
      <c r="F32" s="9" t="s">
        <v>92</v>
      </c>
      <c r="G32" s="9" t="s">
        <v>101</v>
      </c>
      <c r="H32" s="9" t="s">
        <v>102</v>
      </c>
      <c r="I32" s="10"/>
      <c r="J32" s="10"/>
    </row>
    <row r="33" spans="1:10" ht="30" x14ac:dyDescent="0.25">
      <c r="A33" s="6"/>
      <c r="B33" s="7" t="s">
        <v>25</v>
      </c>
      <c r="C33" s="8">
        <v>142</v>
      </c>
      <c r="D33" s="8">
        <v>208</v>
      </c>
      <c r="E33" s="8">
        <v>18</v>
      </c>
      <c r="F33" s="9" t="s">
        <v>92</v>
      </c>
      <c r="G33" s="9" t="s">
        <v>103</v>
      </c>
      <c r="H33" s="9" t="s">
        <v>104</v>
      </c>
      <c r="I33" s="10"/>
      <c r="J33" s="10"/>
    </row>
    <row r="34" spans="1:10" ht="16.5" x14ac:dyDescent="0.25">
      <c r="A34" s="6"/>
      <c r="B34" s="7" t="s">
        <v>25</v>
      </c>
      <c r="C34" s="8">
        <v>158</v>
      </c>
      <c r="D34" s="8">
        <v>227</v>
      </c>
      <c r="E34" s="8">
        <v>19</v>
      </c>
      <c r="F34" s="9" t="s">
        <v>105</v>
      </c>
      <c r="G34" s="9" t="s">
        <v>106</v>
      </c>
      <c r="H34" s="9" t="s">
        <v>107</v>
      </c>
      <c r="I34" s="10"/>
      <c r="J34" s="10"/>
    </row>
    <row r="35" spans="1:10" ht="16.5" x14ac:dyDescent="0.25">
      <c r="A35" s="6"/>
      <c r="B35" s="7" t="s">
        <v>25</v>
      </c>
      <c r="C35" s="8">
        <v>172</v>
      </c>
      <c r="D35" s="8">
        <v>241</v>
      </c>
      <c r="E35" s="8">
        <v>20</v>
      </c>
      <c r="F35" s="9" t="s">
        <v>108</v>
      </c>
      <c r="G35" s="9" t="s">
        <v>109</v>
      </c>
      <c r="H35" s="9" t="s">
        <v>110</v>
      </c>
      <c r="I35" s="10"/>
      <c r="J35" s="10"/>
    </row>
    <row r="36" spans="1:10" ht="16.5" x14ac:dyDescent="0.25">
      <c r="A36" s="6"/>
      <c r="B36" s="7" t="s">
        <v>25</v>
      </c>
      <c r="C36" s="8">
        <v>180</v>
      </c>
      <c r="D36" s="8">
        <v>255</v>
      </c>
      <c r="E36" s="8">
        <v>21</v>
      </c>
      <c r="F36" s="9" t="s">
        <v>111</v>
      </c>
      <c r="G36" s="9" t="s">
        <v>112</v>
      </c>
      <c r="H36" s="9" t="s">
        <v>113</v>
      </c>
      <c r="I36" s="10"/>
      <c r="J36" s="10"/>
    </row>
    <row r="37" spans="1:10" ht="16.5" x14ac:dyDescent="0.25">
      <c r="A37" s="6"/>
      <c r="B37" s="7" t="s">
        <v>25</v>
      </c>
      <c r="C37" s="8">
        <v>182</v>
      </c>
      <c r="D37" s="8">
        <v>257</v>
      </c>
      <c r="E37" s="8">
        <v>21</v>
      </c>
      <c r="F37" s="9" t="s">
        <v>111</v>
      </c>
      <c r="G37" s="9" t="s">
        <v>114</v>
      </c>
      <c r="H37" s="9" t="s">
        <v>115</v>
      </c>
      <c r="I37" s="10"/>
      <c r="J37" s="10"/>
    </row>
    <row r="38" spans="1:10" ht="16.5" x14ac:dyDescent="0.25">
      <c r="A38" s="6"/>
      <c r="B38" s="7" t="s">
        <v>25</v>
      </c>
      <c r="C38" s="8">
        <v>183</v>
      </c>
      <c r="D38" s="8">
        <v>258</v>
      </c>
      <c r="E38" s="8">
        <v>21</v>
      </c>
      <c r="F38" s="9" t="s">
        <v>111</v>
      </c>
      <c r="G38" s="9" t="s">
        <v>116</v>
      </c>
      <c r="H38" s="9" t="s">
        <v>117</v>
      </c>
      <c r="I38" s="10"/>
      <c r="J38" s="10"/>
    </row>
    <row r="39" spans="1:10" ht="16.5" x14ac:dyDescent="0.25">
      <c r="A39" s="6"/>
      <c r="B39" s="7" t="s">
        <v>25</v>
      </c>
      <c r="C39" s="8">
        <v>188</v>
      </c>
      <c r="D39" s="8">
        <v>265</v>
      </c>
      <c r="E39" s="8">
        <v>22</v>
      </c>
      <c r="F39" s="9" t="s">
        <v>118</v>
      </c>
      <c r="G39" s="9" t="s">
        <v>119</v>
      </c>
      <c r="H39" s="9" t="s">
        <v>120</v>
      </c>
      <c r="I39" s="10"/>
      <c r="J39" s="10"/>
    </row>
    <row r="40" spans="1:10" ht="16.5" x14ac:dyDescent="0.25">
      <c r="A40" s="6"/>
      <c r="B40" s="7" t="s">
        <v>25</v>
      </c>
      <c r="C40" s="8">
        <v>189</v>
      </c>
      <c r="D40" s="8">
        <v>266</v>
      </c>
      <c r="E40" s="8">
        <v>22</v>
      </c>
      <c r="F40" s="9" t="s">
        <v>118</v>
      </c>
      <c r="G40" s="9" t="s">
        <v>121</v>
      </c>
      <c r="H40" s="9" t="s">
        <v>122</v>
      </c>
      <c r="I40" s="10"/>
      <c r="J40" s="10"/>
    </row>
    <row r="41" spans="1:10" ht="30" x14ac:dyDescent="0.25">
      <c r="A41" s="6"/>
      <c r="B41" s="7" t="s">
        <v>25</v>
      </c>
      <c r="C41" s="8">
        <v>195</v>
      </c>
      <c r="D41" s="8">
        <v>275</v>
      </c>
      <c r="E41" s="8">
        <v>23</v>
      </c>
      <c r="F41" s="9" t="s">
        <v>123</v>
      </c>
      <c r="G41" s="9" t="s">
        <v>124</v>
      </c>
      <c r="H41" s="9" t="s">
        <v>125</v>
      </c>
      <c r="I41" s="10"/>
      <c r="J41" s="10"/>
    </row>
    <row r="42" spans="1:10" ht="16.5" x14ac:dyDescent="0.25">
      <c r="A42" s="6"/>
      <c r="B42" s="7" t="s">
        <v>25</v>
      </c>
      <c r="C42" s="8">
        <v>196</v>
      </c>
      <c r="D42" s="8">
        <v>276</v>
      </c>
      <c r="E42" s="8">
        <v>23</v>
      </c>
      <c r="F42" s="9" t="s">
        <v>123</v>
      </c>
      <c r="G42" s="9" t="s">
        <v>126</v>
      </c>
      <c r="H42" s="9" t="s">
        <v>127</v>
      </c>
      <c r="I42" s="10"/>
      <c r="J42" s="10"/>
    </row>
    <row r="43" spans="1:10" ht="30" x14ac:dyDescent="0.25">
      <c r="A43" s="6"/>
      <c r="B43" s="7" t="s">
        <v>25</v>
      </c>
      <c r="C43" s="8">
        <v>200</v>
      </c>
      <c r="D43" s="8">
        <v>279</v>
      </c>
      <c r="E43" s="8">
        <v>24</v>
      </c>
      <c r="F43" s="9" t="s">
        <v>128</v>
      </c>
      <c r="G43" s="9" t="s">
        <v>129</v>
      </c>
      <c r="H43" s="9" t="s">
        <v>130</v>
      </c>
      <c r="I43" s="10"/>
      <c r="J43" s="10"/>
    </row>
    <row r="44" spans="1:10" ht="16.5" x14ac:dyDescent="0.25">
      <c r="A44" s="6"/>
      <c r="B44" s="7" t="s">
        <v>25</v>
      </c>
      <c r="C44" s="8">
        <v>201</v>
      </c>
      <c r="D44" s="8">
        <v>280</v>
      </c>
      <c r="E44" s="8">
        <v>24</v>
      </c>
      <c r="F44" s="9" t="s">
        <v>128</v>
      </c>
      <c r="G44" s="9" t="s">
        <v>131</v>
      </c>
      <c r="H44" s="9" t="s">
        <v>132</v>
      </c>
      <c r="I44" s="10"/>
      <c r="J44" s="10"/>
    </row>
    <row r="45" spans="1:10" ht="30" x14ac:dyDescent="0.25">
      <c r="A45" s="6"/>
      <c r="B45" s="7" t="s">
        <v>25</v>
      </c>
      <c r="C45" s="8">
        <v>206</v>
      </c>
      <c r="D45" s="8">
        <v>287</v>
      </c>
      <c r="E45" s="8">
        <v>25</v>
      </c>
      <c r="F45" s="9" t="s">
        <v>133</v>
      </c>
      <c r="G45" s="9" t="s">
        <v>134</v>
      </c>
      <c r="H45" s="9" t="s">
        <v>135</v>
      </c>
      <c r="I45" s="10"/>
      <c r="J45" s="10"/>
    </row>
    <row r="46" spans="1:10" ht="30" x14ac:dyDescent="0.25">
      <c r="A46" s="6"/>
      <c r="B46" s="7" t="s">
        <v>25</v>
      </c>
      <c r="C46" s="8">
        <v>209</v>
      </c>
      <c r="D46" s="8">
        <v>291</v>
      </c>
      <c r="E46" s="8">
        <v>26</v>
      </c>
      <c r="F46" s="9" t="s">
        <v>136</v>
      </c>
      <c r="G46" s="9" t="s">
        <v>137</v>
      </c>
      <c r="H46" s="9" t="s">
        <v>138</v>
      </c>
      <c r="I46" s="10"/>
      <c r="J46" s="10"/>
    </row>
    <row r="47" spans="1:10" ht="30" x14ac:dyDescent="0.25">
      <c r="A47" s="6"/>
      <c r="B47" s="7" t="s">
        <v>25</v>
      </c>
      <c r="C47" s="8">
        <v>210</v>
      </c>
      <c r="D47" s="8">
        <v>292</v>
      </c>
      <c r="E47" s="8">
        <v>26</v>
      </c>
      <c r="F47" s="9" t="s">
        <v>136</v>
      </c>
      <c r="G47" s="9" t="s">
        <v>139</v>
      </c>
      <c r="H47" s="9" t="s">
        <v>140</v>
      </c>
      <c r="I47" s="10"/>
      <c r="J47" s="10"/>
    </row>
    <row r="48" spans="1:10" ht="30" x14ac:dyDescent="0.25">
      <c r="A48" s="6"/>
      <c r="B48" s="7" t="s">
        <v>25</v>
      </c>
      <c r="C48" s="8">
        <v>211</v>
      </c>
      <c r="D48" s="8">
        <v>293</v>
      </c>
      <c r="E48" s="8">
        <v>26</v>
      </c>
      <c r="F48" s="9" t="s">
        <v>136</v>
      </c>
      <c r="G48" s="9" t="s">
        <v>141</v>
      </c>
      <c r="H48" s="9" t="s">
        <v>142</v>
      </c>
      <c r="I48" s="10"/>
      <c r="J48" s="10"/>
    </row>
    <row r="49" spans="1:10" ht="30" x14ac:dyDescent="0.25">
      <c r="A49" s="6"/>
      <c r="B49" s="7" t="s">
        <v>25</v>
      </c>
      <c r="C49" s="8">
        <v>212</v>
      </c>
      <c r="D49" s="8">
        <v>295</v>
      </c>
      <c r="E49" s="8">
        <v>26</v>
      </c>
      <c r="F49" s="9" t="s">
        <v>136</v>
      </c>
      <c r="G49" s="9" t="s">
        <v>143</v>
      </c>
      <c r="H49" s="9" t="s">
        <v>144</v>
      </c>
      <c r="I49" s="10"/>
      <c r="J49" s="10"/>
    </row>
    <row r="50" spans="1:10" ht="30" x14ac:dyDescent="0.25">
      <c r="A50" s="6"/>
      <c r="B50" s="7" t="s">
        <v>25</v>
      </c>
      <c r="C50" s="8">
        <v>225</v>
      </c>
      <c r="D50" s="8">
        <v>313</v>
      </c>
      <c r="E50" s="8">
        <v>28</v>
      </c>
      <c r="F50" s="9" t="s">
        <v>145</v>
      </c>
      <c r="G50" s="9" t="s">
        <v>146</v>
      </c>
      <c r="H50" s="9" t="s">
        <v>147</v>
      </c>
      <c r="I50" s="10"/>
      <c r="J50" s="10"/>
    </row>
    <row r="51" spans="1:10" ht="30" x14ac:dyDescent="0.25">
      <c r="A51" s="6"/>
      <c r="B51" s="7" t="s">
        <v>25</v>
      </c>
      <c r="C51" s="8">
        <v>229</v>
      </c>
      <c r="D51" s="8">
        <v>319</v>
      </c>
      <c r="E51" s="8">
        <v>29</v>
      </c>
      <c r="F51" s="9" t="s">
        <v>148</v>
      </c>
      <c r="G51" s="9" t="s">
        <v>149</v>
      </c>
      <c r="H51" s="9" t="s">
        <v>150</v>
      </c>
      <c r="I51" s="10"/>
      <c r="J51" s="10"/>
    </row>
    <row r="52" spans="1:10" ht="30" x14ac:dyDescent="0.25">
      <c r="A52" s="6"/>
      <c r="B52" s="7" t="s">
        <v>25</v>
      </c>
      <c r="C52" s="8">
        <v>230</v>
      </c>
      <c r="D52" s="8">
        <v>320</v>
      </c>
      <c r="E52" s="8">
        <v>29</v>
      </c>
      <c r="F52" s="9" t="s">
        <v>148</v>
      </c>
      <c r="G52" s="9" t="s">
        <v>151</v>
      </c>
      <c r="H52" s="9" t="s">
        <v>152</v>
      </c>
      <c r="I52" s="10"/>
      <c r="J52" s="10"/>
    </row>
    <row r="53" spans="1:10" ht="30" x14ac:dyDescent="0.25">
      <c r="A53" s="6"/>
      <c r="B53" s="7" t="s">
        <v>25</v>
      </c>
      <c r="C53" s="8">
        <v>231</v>
      </c>
      <c r="D53" s="8">
        <v>320</v>
      </c>
      <c r="E53" s="8">
        <v>29</v>
      </c>
      <c r="F53" s="9" t="s">
        <v>148</v>
      </c>
      <c r="G53" s="9" t="s">
        <v>153</v>
      </c>
      <c r="H53" s="9" t="s">
        <v>154</v>
      </c>
      <c r="I53" s="10"/>
      <c r="J53" s="10"/>
    </row>
    <row r="54" spans="1:10" ht="16.5" x14ac:dyDescent="0.25">
      <c r="A54" s="6"/>
      <c r="B54" s="7" t="s">
        <v>25</v>
      </c>
      <c r="C54" s="8">
        <v>236</v>
      </c>
      <c r="D54" s="8">
        <v>326</v>
      </c>
      <c r="E54" s="8">
        <v>30</v>
      </c>
      <c r="F54" s="9" t="s">
        <v>155</v>
      </c>
      <c r="G54" s="9" t="s">
        <v>156</v>
      </c>
      <c r="H54" s="9" t="s">
        <v>157</v>
      </c>
      <c r="I54" s="10"/>
      <c r="J54" s="10"/>
    </row>
    <row r="55" spans="1:10" ht="16.5" x14ac:dyDescent="0.25">
      <c r="A55" s="6"/>
      <c r="B55" s="7" t="s">
        <v>25</v>
      </c>
      <c r="C55" s="8">
        <v>237</v>
      </c>
      <c r="D55" s="8">
        <v>326</v>
      </c>
      <c r="E55" s="8">
        <v>30</v>
      </c>
      <c r="F55" s="9" t="s">
        <v>155</v>
      </c>
      <c r="G55" s="9" t="s">
        <v>158</v>
      </c>
      <c r="H55" s="9" t="s">
        <v>159</v>
      </c>
      <c r="I55" s="10"/>
      <c r="J55" s="10"/>
    </row>
    <row r="56" spans="1:10" ht="16.5" x14ac:dyDescent="0.25">
      <c r="A56" s="6"/>
      <c r="B56" s="7" t="s">
        <v>25</v>
      </c>
      <c r="C56" s="8">
        <v>238</v>
      </c>
      <c r="D56" s="8">
        <v>327</v>
      </c>
      <c r="E56" s="8">
        <v>30</v>
      </c>
      <c r="F56" s="9" t="s">
        <v>155</v>
      </c>
      <c r="G56" s="9" t="s">
        <v>160</v>
      </c>
      <c r="H56" s="9" t="s">
        <v>161</v>
      </c>
      <c r="I56" s="10"/>
      <c r="J56" s="10"/>
    </row>
    <row r="57" spans="1:10" ht="16.5" x14ac:dyDescent="0.25">
      <c r="A57" s="6"/>
      <c r="B57" s="7" t="s">
        <v>25</v>
      </c>
      <c r="C57" s="8">
        <v>239</v>
      </c>
      <c r="D57" s="8">
        <v>327</v>
      </c>
      <c r="E57" s="8">
        <v>30</v>
      </c>
      <c r="F57" s="9" t="s">
        <v>155</v>
      </c>
      <c r="G57" s="9" t="s">
        <v>162</v>
      </c>
      <c r="H57" s="9" t="s">
        <v>163</v>
      </c>
      <c r="I57" s="10"/>
      <c r="J57" s="10"/>
    </row>
    <row r="58" spans="1:10" ht="30" x14ac:dyDescent="0.25">
      <c r="A58" s="11"/>
      <c r="B58" s="12" t="s">
        <v>164</v>
      </c>
      <c r="C58" s="13">
        <v>2</v>
      </c>
      <c r="D58" s="13">
        <v>16</v>
      </c>
      <c r="E58" s="13">
        <v>1</v>
      </c>
      <c r="F58" s="14" t="s">
        <v>26</v>
      </c>
      <c r="G58" s="14" t="s">
        <v>165</v>
      </c>
      <c r="H58" s="14" t="s">
        <v>166</v>
      </c>
      <c r="I58" s="15"/>
      <c r="J58" s="15"/>
    </row>
    <row r="59" spans="1:10" ht="16.5" x14ac:dyDescent="0.25">
      <c r="A59" s="6"/>
      <c r="B59" s="7" t="s">
        <v>164</v>
      </c>
      <c r="C59" s="8">
        <v>3</v>
      </c>
      <c r="D59" s="8">
        <v>17</v>
      </c>
      <c r="E59" s="8">
        <v>1</v>
      </c>
      <c r="F59" s="9" t="s">
        <v>26</v>
      </c>
      <c r="G59" s="9" t="s">
        <v>167</v>
      </c>
      <c r="H59" s="9" t="s">
        <v>168</v>
      </c>
      <c r="I59" s="10"/>
      <c r="J59" s="10"/>
    </row>
    <row r="60" spans="1:10" ht="16.5" x14ac:dyDescent="0.25">
      <c r="A60" s="6"/>
      <c r="B60" s="7" t="s">
        <v>164</v>
      </c>
      <c r="C60" s="8">
        <v>9</v>
      </c>
      <c r="D60" s="8">
        <v>27</v>
      </c>
      <c r="E60" s="8">
        <v>2</v>
      </c>
      <c r="F60" s="9" t="s">
        <v>29</v>
      </c>
      <c r="G60" s="9" t="s">
        <v>169</v>
      </c>
      <c r="H60" s="9" t="s">
        <v>170</v>
      </c>
      <c r="I60" s="10"/>
      <c r="J60" s="10"/>
    </row>
    <row r="61" spans="1:10" ht="16.5" x14ac:dyDescent="0.25">
      <c r="A61" s="6"/>
      <c r="B61" s="7" t="s">
        <v>164</v>
      </c>
      <c r="C61" s="8">
        <v>10</v>
      </c>
      <c r="D61" s="8">
        <v>29</v>
      </c>
      <c r="E61" s="8">
        <v>2</v>
      </c>
      <c r="F61" s="9" t="s">
        <v>29</v>
      </c>
      <c r="G61" s="9" t="s">
        <v>171</v>
      </c>
      <c r="H61" s="9" t="s">
        <v>172</v>
      </c>
      <c r="I61" s="10"/>
      <c r="J61" s="10"/>
    </row>
    <row r="62" spans="1:10" ht="30" x14ac:dyDescent="0.25">
      <c r="A62" s="6"/>
      <c r="B62" s="7" t="s">
        <v>164</v>
      </c>
      <c r="C62" s="8">
        <v>14</v>
      </c>
      <c r="D62" s="8">
        <v>36</v>
      </c>
      <c r="E62" s="8">
        <v>3</v>
      </c>
      <c r="F62" s="9" t="s">
        <v>36</v>
      </c>
      <c r="G62" s="9" t="s">
        <v>173</v>
      </c>
      <c r="H62" s="9" t="s">
        <v>174</v>
      </c>
      <c r="I62" s="10"/>
      <c r="J62" s="10"/>
    </row>
    <row r="63" spans="1:10" ht="30" x14ac:dyDescent="0.25">
      <c r="A63" s="6"/>
      <c r="B63" s="7" t="s">
        <v>164</v>
      </c>
      <c r="C63" s="8">
        <v>15</v>
      </c>
      <c r="D63" s="8">
        <v>38</v>
      </c>
      <c r="E63" s="8">
        <v>3</v>
      </c>
      <c r="F63" s="9" t="s">
        <v>36</v>
      </c>
      <c r="G63" s="9" t="s">
        <v>175</v>
      </c>
      <c r="H63" s="9" t="s">
        <v>176</v>
      </c>
      <c r="I63" s="10"/>
      <c r="J63" s="10"/>
    </row>
    <row r="64" spans="1:10" ht="30" x14ac:dyDescent="0.25">
      <c r="A64" s="6"/>
      <c r="B64" s="7" t="s">
        <v>164</v>
      </c>
      <c r="C64" s="8">
        <v>16</v>
      </c>
      <c r="D64" s="8">
        <v>39</v>
      </c>
      <c r="E64" s="8">
        <v>3</v>
      </c>
      <c r="F64" s="9" t="s">
        <v>36</v>
      </c>
      <c r="G64" s="9" t="s">
        <v>177</v>
      </c>
      <c r="H64" s="9" t="s">
        <v>178</v>
      </c>
      <c r="I64" s="10"/>
      <c r="J64" s="10"/>
    </row>
    <row r="65" spans="1:10" ht="16.5" x14ac:dyDescent="0.25">
      <c r="A65" s="6"/>
      <c r="B65" s="7" t="s">
        <v>164</v>
      </c>
      <c r="C65" s="8">
        <v>18</v>
      </c>
      <c r="D65" s="8">
        <v>42</v>
      </c>
      <c r="E65" s="8">
        <v>4</v>
      </c>
      <c r="F65" s="9" t="s">
        <v>39</v>
      </c>
      <c r="G65" s="9" t="s">
        <v>179</v>
      </c>
      <c r="H65" s="9" t="s">
        <v>180</v>
      </c>
      <c r="I65" s="10"/>
      <c r="J65" s="10"/>
    </row>
    <row r="66" spans="1:10" ht="30" x14ac:dyDescent="0.25">
      <c r="A66" s="6"/>
      <c r="B66" s="7" t="s">
        <v>164</v>
      </c>
      <c r="C66" s="8">
        <v>19</v>
      </c>
      <c r="D66" s="8">
        <v>42</v>
      </c>
      <c r="E66" s="8">
        <v>4</v>
      </c>
      <c r="F66" s="9" t="s">
        <v>39</v>
      </c>
      <c r="G66" s="9" t="s">
        <v>181</v>
      </c>
      <c r="H66" s="9" t="s">
        <v>182</v>
      </c>
      <c r="I66" s="10"/>
      <c r="J66" s="10"/>
    </row>
    <row r="67" spans="1:10" ht="16.5" x14ac:dyDescent="0.25">
      <c r="A67" s="6"/>
      <c r="B67" s="7" t="s">
        <v>164</v>
      </c>
      <c r="C67" s="8">
        <v>20</v>
      </c>
      <c r="D67" s="8">
        <v>44</v>
      </c>
      <c r="E67" s="8">
        <v>4</v>
      </c>
      <c r="F67" s="9" t="s">
        <v>39</v>
      </c>
      <c r="G67" s="9" t="s">
        <v>183</v>
      </c>
      <c r="H67" s="9" t="s">
        <v>184</v>
      </c>
      <c r="I67" s="10"/>
      <c r="J67" s="10"/>
    </row>
    <row r="68" spans="1:10" ht="30" x14ac:dyDescent="0.25">
      <c r="A68" s="6"/>
      <c r="B68" s="7" t="s">
        <v>164</v>
      </c>
      <c r="C68" s="8">
        <v>23</v>
      </c>
      <c r="D68" s="8">
        <v>49</v>
      </c>
      <c r="E68" s="8">
        <v>5</v>
      </c>
      <c r="F68" s="9" t="s">
        <v>185</v>
      </c>
      <c r="G68" s="9" t="s">
        <v>186</v>
      </c>
      <c r="H68" s="9" t="s">
        <v>187</v>
      </c>
      <c r="I68" s="10"/>
      <c r="J68" s="10"/>
    </row>
    <row r="69" spans="1:10" ht="30" x14ac:dyDescent="0.25">
      <c r="A69" s="6"/>
      <c r="B69" s="7" t="s">
        <v>164</v>
      </c>
      <c r="C69" s="8">
        <v>24</v>
      </c>
      <c r="D69" s="8">
        <v>50</v>
      </c>
      <c r="E69" s="8">
        <v>5</v>
      </c>
      <c r="F69" s="9" t="s">
        <v>185</v>
      </c>
      <c r="G69" s="9" t="s">
        <v>188</v>
      </c>
      <c r="H69" s="9" t="s">
        <v>189</v>
      </c>
      <c r="I69" s="10"/>
      <c r="J69" s="10"/>
    </row>
    <row r="70" spans="1:10" ht="30" x14ac:dyDescent="0.25">
      <c r="A70" s="6"/>
      <c r="B70" s="7" t="s">
        <v>164</v>
      </c>
      <c r="C70" s="8">
        <v>25</v>
      </c>
      <c r="D70" s="8">
        <v>51</v>
      </c>
      <c r="E70" s="8">
        <v>5</v>
      </c>
      <c r="F70" s="9" t="s">
        <v>185</v>
      </c>
      <c r="G70" s="9" t="s">
        <v>190</v>
      </c>
      <c r="H70" s="9" t="s">
        <v>191</v>
      </c>
      <c r="I70" s="10"/>
      <c r="J70" s="10"/>
    </row>
    <row r="71" spans="1:10" ht="16.5" x14ac:dyDescent="0.25">
      <c r="A71" s="6"/>
      <c r="B71" s="7" t="s">
        <v>164</v>
      </c>
      <c r="C71" s="8">
        <v>28</v>
      </c>
      <c r="D71" s="8">
        <v>55</v>
      </c>
      <c r="E71" s="8">
        <v>6</v>
      </c>
      <c r="F71" s="9" t="s">
        <v>42</v>
      </c>
      <c r="G71" s="9" t="s">
        <v>192</v>
      </c>
      <c r="H71" s="9" t="s">
        <v>193</v>
      </c>
      <c r="I71" s="10"/>
      <c r="J71" s="10"/>
    </row>
    <row r="72" spans="1:10" ht="30" x14ac:dyDescent="0.25">
      <c r="A72" s="6"/>
      <c r="B72" s="7" t="s">
        <v>164</v>
      </c>
      <c r="C72" s="8">
        <v>32</v>
      </c>
      <c r="D72" s="8">
        <v>62</v>
      </c>
      <c r="E72" s="8">
        <v>7</v>
      </c>
      <c r="F72" s="9" t="s">
        <v>47</v>
      </c>
      <c r="G72" s="9" t="s">
        <v>194</v>
      </c>
      <c r="H72" s="9" t="s">
        <v>195</v>
      </c>
      <c r="I72" s="10"/>
      <c r="J72" s="10"/>
    </row>
    <row r="73" spans="1:10" ht="30" x14ac:dyDescent="0.25">
      <c r="A73" s="6"/>
      <c r="B73" s="7" t="s">
        <v>164</v>
      </c>
      <c r="C73" s="8">
        <v>36</v>
      </c>
      <c r="D73" s="8">
        <v>71</v>
      </c>
      <c r="E73" s="8">
        <v>8</v>
      </c>
      <c r="F73" s="9" t="s">
        <v>50</v>
      </c>
      <c r="G73" s="9" t="s">
        <v>196</v>
      </c>
      <c r="H73" s="9" t="s">
        <v>197</v>
      </c>
      <c r="I73" s="10"/>
      <c r="J73" s="10"/>
    </row>
    <row r="74" spans="1:10" ht="16.5" x14ac:dyDescent="0.25">
      <c r="A74" s="6"/>
      <c r="B74" s="7" t="s">
        <v>164</v>
      </c>
      <c r="C74" s="8">
        <v>40</v>
      </c>
      <c r="D74" s="8">
        <v>77</v>
      </c>
      <c r="E74" s="8">
        <v>9</v>
      </c>
      <c r="F74" s="9" t="s">
        <v>53</v>
      </c>
      <c r="G74" s="9" t="s">
        <v>198</v>
      </c>
      <c r="H74" s="9" t="s">
        <v>199</v>
      </c>
      <c r="I74" s="10"/>
      <c r="J74" s="10"/>
    </row>
    <row r="75" spans="1:10" ht="16.5" x14ac:dyDescent="0.25">
      <c r="A75" s="6"/>
      <c r="B75" s="7" t="s">
        <v>164</v>
      </c>
      <c r="C75" s="8">
        <v>41</v>
      </c>
      <c r="D75" s="8">
        <v>78</v>
      </c>
      <c r="E75" s="8">
        <v>9</v>
      </c>
      <c r="F75" s="9" t="s">
        <v>53</v>
      </c>
      <c r="G75" s="9" t="s">
        <v>200</v>
      </c>
      <c r="H75" s="9" t="s">
        <v>201</v>
      </c>
      <c r="I75" s="10"/>
      <c r="J75" s="10"/>
    </row>
    <row r="76" spans="1:10" ht="16.5" x14ac:dyDescent="0.25">
      <c r="A76" s="6"/>
      <c r="B76" s="7" t="s">
        <v>164</v>
      </c>
      <c r="C76" s="8">
        <v>43</v>
      </c>
      <c r="D76" s="8">
        <v>82</v>
      </c>
      <c r="E76" s="8">
        <v>9</v>
      </c>
      <c r="F76" s="9" t="s">
        <v>53</v>
      </c>
      <c r="G76" s="9" t="s">
        <v>202</v>
      </c>
      <c r="H76" s="9" t="s">
        <v>203</v>
      </c>
      <c r="I76" s="10"/>
      <c r="J76" s="10"/>
    </row>
    <row r="77" spans="1:10" ht="30" x14ac:dyDescent="0.25">
      <c r="A77" s="6"/>
      <c r="B77" s="7" t="s">
        <v>164</v>
      </c>
      <c r="C77" s="8">
        <v>48</v>
      </c>
      <c r="D77" s="8">
        <v>91</v>
      </c>
      <c r="E77" s="8">
        <v>10</v>
      </c>
      <c r="F77" s="9" t="s">
        <v>58</v>
      </c>
      <c r="G77" s="9" t="s">
        <v>204</v>
      </c>
      <c r="H77" s="9" t="s">
        <v>205</v>
      </c>
      <c r="I77" s="10"/>
      <c r="J77" s="10"/>
    </row>
    <row r="78" spans="1:10" ht="16.5" x14ac:dyDescent="0.25">
      <c r="A78" s="6"/>
      <c r="B78" s="7" t="s">
        <v>164</v>
      </c>
      <c r="C78" s="8">
        <v>49</v>
      </c>
      <c r="D78" s="8">
        <v>92</v>
      </c>
      <c r="E78" s="8">
        <v>10</v>
      </c>
      <c r="F78" s="9" t="s">
        <v>58</v>
      </c>
      <c r="G78" s="9" t="s">
        <v>206</v>
      </c>
      <c r="H78" s="9" t="s">
        <v>207</v>
      </c>
      <c r="I78" s="10"/>
      <c r="J78" s="10"/>
    </row>
    <row r="79" spans="1:10" ht="16.5" x14ac:dyDescent="0.25">
      <c r="A79" s="6"/>
      <c r="B79" s="7" t="s">
        <v>164</v>
      </c>
      <c r="C79" s="8">
        <v>50</v>
      </c>
      <c r="D79" s="8">
        <v>93</v>
      </c>
      <c r="E79" s="8">
        <v>10</v>
      </c>
      <c r="F79" s="9" t="s">
        <v>58</v>
      </c>
      <c r="G79" s="9" t="s">
        <v>208</v>
      </c>
      <c r="H79" s="9" t="s">
        <v>209</v>
      </c>
      <c r="I79" s="10"/>
      <c r="J79" s="10"/>
    </row>
    <row r="80" spans="1:10" ht="16.5" x14ac:dyDescent="0.25">
      <c r="A80" s="6"/>
      <c r="B80" s="7" t="s">
        <v>164</v>
      </c>
      <c r="C80" s="8">
        <v>51</v>
      </c>
      <c r="D80" s="8">
        <v>94</v>
      </c>
      <c r="E80" s="8">
        <v>10</v>
      </c>
      <c r="F80" s="9" t="s">
        <v>58</v>
      </c>
      <c r="G80" s="9" t="s">
        <v>210</v>
      </c>
      <c r="H80" s="9" t="s">
        <v>211</v>
      </c>
      <c r="I80" s="10"/>
      <c r="J80" s="10"/>
    </row>
    <row r="81" spans="1:10" ht="16.5" x14ac:dyDescent="0.25">
      <c r="A81" s="6"/>
      <c r="B81" s="7" t="s">
        <v>164</v>
      </c>
      <c r="C81" s="8">
        <v>57</v>
      </c>
      <c r="D81" s="8">
        <v>103</v>
      </c>
      <c r="E81" s="8">
        <v>11</v>
      </c>
      <c r="F81" s="9" t="s">
        <v>63</v>
      </c>
      <c r="G81" s="9" t="s">
        <v>212</v>
      </c>
      <c r="H81" s="9" t="s">
        <v>213</v>
      </c>
      <c r="I81" s="10"/>
      <c r="J81" s="10"/>
    </row>
    <row r="82" spans="1:10" ht="16.5" x14ac:dyDescent="0.25">
      <c r="A82" s="6"/>
      <c r="B82" s="7" t="s">
        <v>164</v>
      </c>
      <c r="C82" s="8">
        <v>58</v>
      </c>
      <c r="D82" s="8">
        <v>103</v>
      </c>
      <c r="E82" s="8">
        <v>11</v>
      </c>
      <c r="F82" s="9" t="s">
        <v>63</v>
      </c>
      <c r="G82" s="9" t="s">
        <v>214</v>
      </c>
      <c r="H82" s="9" t="s">
        <v>215</v>
      </c>
      <c r="I82" s="10"/>
      <c r="J82" s="10"/>
    </row>
    <row r="83" spans="1:10" ht="16.5" x14ac:dyDescent="0.25">
      <c r="A83" s="6"/>
      <c r="B83" s="7" t="s">
        <v>164</v>
      </c>
      <c r="C83" s="8">
        <v>59</v>
      </c>
      <c r="D83" s="8">
        <v>105</v>
      </c>
      <c r="E83" s="8">
        <v>11</v>
      </c>
      <c r="F83" s="9" t="s">
        <v>63</v>
      </c>
      <c r="G83" s="9" t="s">
        <v>216</v>
      </c>
      <c r="H83" s="9" t="s">
        <v>217</v>
      </c>
      <c r="I83" s="10"/>
      <c r="J83" s="10"/>
    </row>
    <row r="84" spans="1:10" ht="30" x14ac:dyDescent="0.25">
      <c r="A84" s="6"/>
      <c r="B84" s="7" t="s">
        <v>164</v>
      </c>
      <c r="C84" s="8">
        <v>60</v>
      </c>
      <c r="D84" s="8">
        <v>106</v>
      </c>
      <c r="E84" s="8">
        <v>11</v>
      </c>
      <c r="F84" s="9" t="s">
        <v>63</v>
      </c>
      <c r="G84" s="9" t="s">
        <v>218</v>
      </c>
      <c r="H84" s="9" t="s">
        <v>219</v>
      </c>
      <c r="I84" s="10"/>
      <c r="J84" s="10"/>
    </row>
    <row r="85" spans="1:10" ht="30" x14ac:dyDescent="0.25">
      <c r="A85" s="6"/>
      <c r="B85" s="7" t="s">
        <v>164</v>
      </c>
      <c r="C85" s="8">
        <v>65</v>
      </c>
      <c r="D85" s="8">
        <v>116</v>
      </c>
      <c r="E85" s="8">
        <v>12</v>
      </c>
      <c r="F85" s="9" t="s">
        <v>68</v>
      </c>
      <c r="G85" s="9" t="s">
        <v>220</v>
      </c>
      <c r="H85" s="9" t="s">
        <v>221</v>
      </c>
      <c r="I85" s="10"/>
      <c r="J85" s="10"/>
    </row>
    <row r="86" spans="1:10" ht="30" x14ac:dyDescent="0.25">
      <c r="A86" s="6"/>
      <c r="B86" s="7" t="s">
        <v>164</v>
      </c>
      <c r="C86" s="8">
        <v>66</v>
      </c>
      <c r="D86" s="8">
        <v>117</v>
      </c>
      <c r="E86" s="8">
        <v>12</v>
      </c>
      <c r="F86" s="9" t="s">
        <v>68</v>
      </c>
      <c r="G86" s="9" t="s">
        <v>222</v>
      </c>
      <c r="H86" s="9" t="s">
        <v>223</v>
      </c>
      <c r="I86" s="10"/>
      <c r="J86" s="10"/>
    </row>
    <row r="87" spans="1:10" ht="30" x14ac:dyDescent="0.25">
      <c r="A87" s="6"/>
      <c r="B87" s="7" t="s">
        <v>164</v>
      </c>
      <c r="C87" s="8">
        <v>67</v>
      </c>
      <c r="D87" s="8">
        <v>119</v>
      </c>
      <c r="E87" s="8">
        <v>12</v>
      </c>
      <c r="F87" s="9" t="s">
        <v>68</v>
      </c>
      <c r="G87" s="9" t="s">
        <v>224</v>
      </c>
      <c r="H87" s="9" t="s">
        <v>225</v>
      </c>
      <c r="I87" s="10"/>
      <c r="J87" s="10"/>
    </row>
    <row r="88" spans="1:10" ht="30" x14ac:dyDescent="0.25">
      <c r="A88" s="6"/>
      <c r="B88" s="7" t="s">
        <v>164</v>
      </c>
      <c r="C88" s="8">
        <v>74</v>
      </c>
      <c r="D88" s="8">
        <v>129</v>
      </c>
      <c r="E88" s="8">
        <v>13</v>
      </c>
      <c r="F88" s="9" t="s">
        <v>71</v>
      </c>
      <c r="G88" s="9" t="s">
        <v>226</v>
      </c>
      <c r="H88" s="9" t="s">
        <v>227</v>
      </c>
      <c r="I88" s="10"/>
      <c r="J88" s="10"/>
    </row>
    <row r="89" spans="1:10" ht="30" x14ac:dyDescent="0.25">
      <c r="A89" s="6"/>
      <c r="B89" s="7" t="s">
        <v>164</v>
      </c>
      <c r="C89" s="8">
        <v>76</v>
      </c>
      <c r="D89" s="8">
        <v>130</v>
      </c>
      <c r="E89" s="8">
        <v>13</v>
      </c>
      <c r="F89" s="9" t="s">
        <v>71</v>
      </c>
      <c r="G89" s="9" t="s">
        <v>228</v>
      </c>
      <c r="H89" s="9" t="s">
        <v>229</v>
      </c>
      <c r="I89" s="10"/>
      <c r="J89" s="10"/>
    </row>
    <row r="90" spans="1:10" ht="30" x14ac:dyDescent="0.25">
      <c r="A90" s="6"/>
      <c r="B90" s="7" t="s">
        <v>164</v>
      </c>
      <c r="C90" s="8">
        <v>77</v>
      </c>
      <c r="D90" s="8">
        <v>131</v>
      </c>
      <c r="E90" s="8">
        <v>13</v>
      </c>
      <c r="F90" s="9" t="s">
        <v>71</v>
      </c>
      <c r="G90" s="9" t="s">
        <v>230</v>
      </c>
      <c r="H90" s="9" t="s">
        <v>231</v>
      </c>
      <c r="I90" s="10"/>
      <c r="J90" s="10"/>
    </row>
    <row r="91" spans="1:10" ht="30" x14ac:dyDescent="0.25">
      <c r="A91" s="6"/>
      <c r="B91" s="7" t="s">
        <v>164</v>
      </c>
      <c r="C91" s="8">
        <v>78</v>
      </c>
      <c r="D91" s="8">
        <v>132</v>
      </c>
      <c r="E91" s="8">
        <v>13</v>
      </c>
      <c r="F91" s="9" t="s">
        <v>71</v>
      </c>
      <c r="G91" s="9" t="s">
        <v>232</v>
      </c>
      <c r="H91" s="9" t="s">
        <v>233</v>
      </c>
      <c r="I91" s="10"/>
      <c r="J91" s="10"/>
    </row>
    <row r="92" spans="1:10" ht="30" x14ac:dyDescent="0.25">
      <c r="A92" s="6"/>
      <c r="B92" s="7" t="s">
        <v>164</v>
      </c>
      <c r="C92" s="8">
        <v>79</v>
      </c>
      <c r="D92" s="8">
        <v>133</v>
      </c>
      <c r="E92" s="8">
        <v>13</v>
      </c>
      <c r="F92" s="9" t="s">
        <v>71</v>
      </c>
      <c r="G92" s="9" t="s">
        <v>234</v>
      </c>
      <c r="H92" s="9" t="s">
        <v>235</v>
      </c>
      <c r="I92" s="10"/>
      <c r="J92" s="10"/>
    </row>
    <row r="93" spans="1:10" ht="30" x14ac:dyDescent="0.25">
      <c r="A93" s="6"/>
      <c r="B93" s="7" t="s">
        <v>164</v>
      </c>
      <c r="C93" s="8">
        <v>80</v>
      </c>
      <c r="D93" s="8">
        <v>135</v>
      </c>
      <c r="E93" s="8">
        <v>13</v>
      </c>
      <c r="F93" s="9" t="s">
        <v>71</v>
      </c>
      <c r="G93" s="9" t="s">
        <v>236</v>
      </c>
      <c r="H93" s="9" t="s">
        <v>237</v>
      </c>
      <c r="I93" s="10"/>
      <c r="J93" s="10"/>
    </row>
    <row r="94" spans="1:10" ht="30" x14ac:dyDescent="0.25">
      <c r="A94" s="6"/>
      <c r="B94" s="7" t="s">
        <v>164</v>
      </c>
      <c r="C94" s="8">
        <v>81</v>
      </c>
      <c r="D94" s="8">
        <v>136</v>
      </c>
      <c r="E94" s="8">
        <v>13</v>
      </c>
      <c r="F94" s="9" t="s">
        <v>71</v>
      </c>
      <c r="G94" s="9" t="s">
        <v>238</v>
      </c>
      <c r="H94" s="9" t="s">
        <v>239</v>
      </c>
      <c r="I94" s="10"/>
      <c r="J94" s="10"/>
    </row>
    <row r="95" spans="1:10" ht="16.5" x14ac:dyDescent="0.25">
      <c r="A95" s="6"/>
      <c r="B95" s="7" t="s">
        <v>164</v>
      </c>
      <c r="C95" s="8">
        <v>84</v>
      </c>
      <c r="D95" s="8">
        <v>140</v>
      </c>
      <c r="E95" s="8">
        <v>14</v>
      </c>
      <c r="F95" s="9" t="s">
        <v>77</v>
      </c>
      <c r="G95" s="9" t="s">
        <v>240</v>
      </c>
      <c r="H95" s="9" t="s">
        <v>241</v>
      </c>
      <c r="I95" s="10"/>
      <c r="J95" s="10"/>
    </row>
    <row r="96" spans="1:10" ht="30" x14ac:dyDescent="0.25">
      <c r="A96" s="6"/>
      <c r="B96" s="7" t="s">
        <v>164</v>
      </c>
      <c r="C96" s="8">
        <v>85</v>
      </c>
      <c r="D96" s="8">
        <v>141</v>
      </c>
      <c r="E96" s="8">
        <v>14</v>
      </c>
      <c r="F96" s="9" t="s">
        <v>77</v>
      </c>
      <c r="G96" s="9" t="s">
        <v>242</v>
      </c>
      <c r="H96" s="9" t="s">
        <v>243</v>
      </c>
      <c r="I96" s="10"/>
      <c r="J96" s="10"/>
    </row>
    <row r="97" spans="1:10" ht="16.5" x14ac:dyDescent="0.25">
      <c r="A97" s="6"/>
      <c r="B97" s="7" t="s">
        <v>164</v>
      </c>
      <c r="C97" s="8">
        <v>86</v>
      </c>
      <c r="D97" s="8">
        <v>142</v>
      </c>
      <c r="E97" s="8">
        <v>14</v>
      </c>
      <c r="F97" s="9" t="s">
        <v>77</v>
      </c>
      <c r="G97" s="9" t="s">
        <v>244</v>
      </c>
      <c r="H97" s="9" t="s">
        <v>245</v>
      </c>
      <c r="I97" s="10"/>
      <c r="J97" s="10"/>
    </row>
    <row r="98" spans="1:10" ht="45" x14ac:dyDescent="0.25">
      <c r="A98" s="6"/>
      <c r="B98" s="7" t="s">
        <v>164</v>
      </c>
      <c r="C98" s="8">
        <v>92</v>
      </c>
      <c r="D98" s="8">
        <v>152</v>
      </c>
      <c r="E98" s="8">
        <v>15</v>
      </c>
      <c r="F98" s="9" t="s">
        <v>80</v>
      </c>
      <c r="G98" s="9" t="s">
        <v>246</v>
      </c>
      <c r="H98" s="9" t="s">
        <v>247</v>
      </c>
      <c r="I98" s="10"/>
      <c r="J98" s="10"/>
    </row>
    <row r="99" spans="1:10" ht="45" x14ac:dyDescent="0.25">
      <c r="A99" s="6"/>
      <c r="B99" s="7" t="s">
        <v>164</v>
      </c>
      <c r="C99" s="8">
        <v>93</v>
      </c>
      <c r="D99" s="8">
        <v>152</v>
      </c>
      <c r="E99" s="8">
        <v>15</v>
      </c>
      <c r="F99" s="9" t="s">
        <v>80</v>
      </c>
      <c r="G99" s="9" t="s">
        <v>248</v>
      </c>
      <c r="H99" s="9" t="s">
        <v>249</v>
      </c>
      <c r="I99" s="10"/>
      <c r="J99" s="10"/>
    </row>
    <row r="100" spans="1:10" ht="45" x14ac:dyDescent="0.25">
      <c r="A100" s="6"/>
      <c r="B100" s="7" t="s">
        <v>164</v>
      </c>
      <c r="C100" s="8">
        <v>94</v>
      </c>
      <c r="D100" s="8">
        <v>153</v>
      </c>
      <c r="E100" s="8">
        <v>15</v>
      </c>
      <c r="F100" s="9" t="s">
        <v>80</v>
      </c>
      <c r="G100" s="9" t="s">
        <v>250</v>
      </c>
      <c r="H100" s="9" t="s">
        <v>251</v>
      </c>
      <c r="I100" s="10"/>
      <c r="J100" s="10"/>
    </row>
    <row r="101" spans="1:10" ht="45" x14ac:dyDescent="0.25">
      <c r="A101" s="6"/>
      <c r="B101" s="7" t="s">
        <v>164</v>
      </c>
      <c r="C101" s="8">
        <v>95</v>
      </c>
      <c r="D101" s="8">
        <v>154</v>
      </c>
      <c r="E101" s="8">
        <v>15</v>
      </c>
      <c r="F101" s="9" t="s">
        <v>80</v>
      </c>
      <c r="G101" s="9" t="s">
        <v>252</v>
      </c>
      <c r="H101" s="9" t="s">
        <v>253</v>
      </c>
      <c r="I101" s="10"/>
      <c r="J101" s="10"/>
    </row>
    <row r="102" spans="1:10" ht="45" x14ac:dyDescent="0.25">
      <c r="A102" s="6"/>
      <c r="B102" s="7" t="s">
        <v>164</v>
      </c>
      <c r="C102" s="8">
        <v>96</v>
      </c>
      <c r="D102" s="8">
        <v>155</v>
      </c>
      <c r="E102" s="8">
        <v>15</v>
      </c>
      <c r="F102" s="9" t="s">
        <v>80</v>
      </c>
      <c r="G102" s="9" t="s">
        <v>254</v>
      </c>
      <c r="H102" s="9" t="s">
        <v>255</v>
      </c>
      <c r="I102" s="10"/>
      <c r="J102" s="10"/>
    </row>
    <row r="103" spans="1:10" ht="45" x14ac:dyDescent="0.25">
      <c r="A103" s="6"/>
      <c r="B103" s="7" t="s">
        <v>164</v>
      </c>
      <c r="C103" s="8">
        <v>97</v>
      </c>
      <c r="D103" s="8">
        <v>156</v>
      </c>
      <c r="E103" s="8">
        <v>15</v>
      </c>
      <c r="F103" s="9" t="s">
        <v>80</v>
      </c>
      <c r="G103" s="9" t="s">
        <v>256</v>
      </c>
      <c r="H103" s="9" t="s">
        <v>257</v>
      </c>
      <c r="I103" s="10"/>
      <c r="J103" s="10"/>
    </row>
    <row r="104" spans="1:10" ht="45" x14ac:dyDescent="0.25">
      <c r="A104" s="6"/>
      <c r="B104" s="7" t="s">
        <v>164</v>
      </c>
      <c r="C104" s="8">
        <v>98</v>
      </c>
      <c r="D104" s="8">
        <v>156</v>
      </c>
      <c r="E104" s="8">
        <v>15</v>
      </c>
      <c r="F104" s="9" t="s">
        <v>80</v>
      </c>
      <c r="G104" s="9" t="s">
        <v>258</v>
      </c>
      <c r="H104" s="9" t="s">
        <v>259</v>
      </c>
      <c r="I104" s="10"/>
      <c r="J104" s="10"/>
    </row>
    <row r="105" spans="1:10" ht="45" x14ac:dyDescent="0.25">
      <c r="A105" s="6"/>
      <c r="B105" s="7" t="s">
        <v>164</v>
      </c>
      <c r="C105" s="8">
        <v>99</v>
      </c>
      <c r="D105" s="8">
        <v>157</v>
      </c>
      <c r="E105" s="8">
        <v>15</v>
      </c>
      <c r="F105" s="9" t="s">
        <v>80</v>
      </c>
      <c r="G105" s="9" t="s">
        <v>260</v>
      </c>
      <c r="H105" s="9" t="s">
        <v>261</v>
      </c>
      <c r="I105" s="10"/>
      <c r="J105" s="10"/>
    </row>
    <row r="106" spans="1:10" ht="45" x14ac:dyDescent="0.25">
      <c r="A106" s="6"/>
      <c r="B106" s="7" t="s">
        <v>164</v>
      </c>
      <c r="C106" s="8">
        <v>100</v>
      </c>
      <c r="D106" s="8">
        <v>158</v>
      </c>
      <c r="E106" s="8">
        <v>15</v>
      </c>
      <c r="F106" s="9" t="s">
        <v>80</v>
      </c>
      <c r="G106" s="9" t="s">
        <v>262</v>
      </c>
      <c r="H106" s="9" t="s">
        <v>263</v>
      </c>
      <c r="I106" s="10"/>
      <c r="J106" s="10"/>
    </row>
    <row r="107" spans="1:10" ht="45" x14ac:dyDescent="0.25">
      <c r="A107" s="6"/>
      <c r="B107" s="7" t="s">
        <v>164</v>
      </c>
      <c r="C107" s="8">
        <v>101</v>
      </c>
      <c r="D107" s="8">
        <v>159</v>
      </c>
      <c r="E107" s="8">
        <v>15</v>
      </c>
      <c r="F107" s="9" t="s">
        <v>80</v>
      </c>
      <c r="G107" s="9" t="s">
        <v>264</v>
      </c>
      <c r="H107" s="9" t="s">
        <v>265</v>
      </c>
      <c r="I107" s="10"/>
      <c r="J107" s="10"/>
    </row>
    <row r="108" spans="1:10" ht="16.5" x14ac:dyDescent="0.25">
      <c r="A108" s="6"/>
      <c r="B108" s="7" t="s">
        <v>164</v>
      </c>
      <c r="C108" s="8">
        <v>114</v>
      </c>
      <c r="D108" s="8">
        <v>173</v>
      </c>
      <c r="E108" s="8">
        <v>16</v>
      </c>
      <c r="F108" s="9" t="s">
        <v>83</v>
      </c>
      <c r="G108" s="9" t="s">
        <v>266</v>
      </c>
      <c r="H108" s="9" t="s">
        <v>267</v>
      </c>
      <c r="I108" s="10"/>
      <c r="J108" s="10"/>
    </row>
    <row r="109" spans="1:10" ht="16.5" x14ac:dyDescent="0.25">
      <c r="A109" s="6"/>
      <c r="B109" s="7" t="s">
        <v>164</v>
      </c>
      <c r="C109" s="8">
        <v>115</v>
      </c>
      <c r="D109" s="8">
        <v>174</v>
      </c>
      <c r="E109" s="8">
        <v>16</v>
      </c>
      <c r="F109" s="9" t="s">
        <v>83</v>
      </c>
      <c r="G109" s="9" t="s">
        <v>268</v>
      </c>
      <c r="H109" s="9" t="s">
        <v>269</v>
      </c>
      <c r="I109" s="10"/>
      <c r="J109" s="10"/>
    </row>
    <row r="110" spans="1:10" ht="16.5" x14ac:dyDescent="0.25">
      <c r="A110" s="6"/>
      <c r="B110" s="7" t="s">
        <v>164</v>
      </c>
      <c r="C110" s="8">
        <v>116</v>
      </c>
      <c r="D110" s="8">
        <v>174</v>
      </c>
      <c r="E110" s="8">
        <v>16</v>
      </c>
      <c r="F110" s="9" t="s">
        <v>83</v>
      </c>
      <c r="G110" s="9" t="s">
        <v>270</v>
      </c>
      <c r="H110" s="9" t="s">
        <v>271</v>
      </c>
      <c r="I110" s="10"/>
      <c r="J110" s="10"/>
    </row>
    <row r="111" spans="1:10" ht="16.5" x14ac:dyDescent="0.25">
      <c r="A111" s="6"/>
      <c r="B111" s="7" t="s">
        <v>164</v>
      </c>
      <c r="C111" s="8">
        <v>117</v>
      </c>
      <c r="D111" s="8">
        <v>176</v>
      </c>
      <c r="E111" s="8">
        <v>16</v>
      </c>
      <c r="F111" s="9" t="s">
        <v>83</v>
      </c>
      <c r="G111" s="9" t="s">
        <v>272</v>
      </c>
      <c r="H111" s="9" t="s">
        <v>273</v>
      </c>
      <c r="I111" s="10"/>
      <c r="J111" s="10"/>
    </row>
    <row r="112" spans="1:10" ht="16.5" x14ac:dyDescent="0.25">
      <c r="A112" s="6"/>
      <c r="B112" s="7" t="s">
        <v>164</v>
      </c>
      <c r="C112" s="8">
        <v>119</v>
      </c>
      <c r="D112" s="8">
        <v>180</v>
      </c>
      <c r="E112" s="8">
        <v>16</v>
      </c>
      <c r="F112" s="9" t="s">
        <v>83</v>
      </c>
      <c r="G112" s="9" t="s">
        <v>262</v>
      </c>
      <c r="H112" s="9" t="s">
        <v>274</v>
      </c>
      <c r="I112" s="10"/>
      <c r="J112" s="10"/>
    </row>
    <row r="113" spans="1:10" ht="16.5" x14ac:dyDescent="0.25">
      <c r="A113" s="6"/>
      <c r="B113" s="7" t="s">
        <v>164</v>
      </c>
      <c r="C113" s="8">
        <v>120</v>
      </c>
      <c r="D113" s="8">
        <v>181</v>
      </c>
      <c r="E113" s="8">
        <v>16</v>
      </c>
      <c r="F113" s="9" t="s">
        <v>83</v>
      </c>
      <c r="G113" s="9" t="s">
        <v>275</v>
      </c>
      <c r="H113" s="9" t="s">
        <v>276</v>
      </c>
      <c r="I113" s="10"/>
      <c r="J113" s="10"/>
    </row>
    <row r="114" spans="1:10" ht="30" x14ac:dyDescent="0.25">
      <c r="A114" s="6"/>
      <c r="B114" s="7" t="s">
        <v>164</v>
      </c>
      <c r="C114" s="8">
        <v>122</v>
      </c>
      <c r="D114" s="8">
        <v>185</v>
      </c>
      <c r="E114" s="8">
        <v>17</v>
      </c>
      <c r="F114" s="9" t="s">
        <v>89</v>
      </c>
      <c r="G114" s="9" t="s">
        <v>277</v>
      </c>
      <c r="H114" s="9" t="s">
        <v>278</v>
      </c>
      <c r="I114" s="10"/>
      <c r="J114" s="10"/>
    </row>
    <row r="115" spans="1:10" ht="30" x14ac:dyDescent="0.25">
      <c r="A115" s="6"/>
      <c r="B115" s="7" t="s">
        <v>164</v>
      </c>
      <c r="C115" s="8">
        <v>123</v>
      </c>
      <c r="D115" s="8">
        <v>185</v>
      </c>
      <c r="E115" s="8">
        <v>17</v>
      </c>
      <c r="F115" s="9" t="s">
        <v>89</v>
      </c>
      <c r="G115" s="9" t="s">
        <v>279</v>
      </c>
      <c r="H115" s="9" t="s">
        <v>280</v>
      </c>
      <c r="I115" s="10"/>
      <c r="J115" s="10"/>
    </row>
    <row r="116" spans="1:10" ht="30" x14ac:dyDescent="0.25">
      <c r="A116" s="6"/>
      <c r="B116" s="7" t="s">
        <v>164</v>
      </c>
      <c r="C116" s="8">
        <v>124</v>
      </c>
      <c r="D116" s="8">
        <v>186</v>
      </c>
      <c r="E116" s="8">
        <v>17</v>
      </c>
      <c r="F116" s="9" t="s">
        <v>89</v>
      </c>
      <c r="G116" s="9" t="s">
        <v>281</v>
      </c>
      <c r="H116" s="9" t="s">
        <v>282</v>
      </c>
      <c r="I116" s="10"/>
      <c r="J116" s="10"/>
    </row>
    <row r="117" spans="1:10" ht="30" x14ac:dyDescent="0.25">
      <c r="A117" s="6"/>
      <c r="B117" s="7" t="s">
        <v>164</v>
      </c>
      <c r="C117" s="8">
        <v>125</v>
      </c>
      <c r="D117" s="8">
        <v>188</v>
      </c>
      <c r="E117" s="8">
        <v>17</v>
      </c>
      <c r="F117" s="9" t="s">
        <v>89</v>
      </c>
      <c r="G117" s="9" t="s">
        <v>214</v>
      </c>
      <c r="H117" s="9" t="s">
        <v>283</v>
      </c>
      <c r="I117" s="10"/>
      <c r="J117" s="10"/>
    </row>
    <row r="118" spans="1:10" ht="30" x14ac:dyDescent="0.25">
      <c r="A118" s="6"/>
      <c r="B118" s="7" t="s">
        <v>164</v>
      </c>
      <c r="C118" s="8">
        <v>126</v>
      </c>
      <c r="D118" s="8">
        <v>190</v>
      </c>
      <c r="E118" s="8">
        <v>17</v>
      </c>
      <c r="F118" s="9" t="s">
        <v>89</v>
      </c>
      <c r="G118" s="9" t="s">
        <v>284</v>
      </c>
      <c r="H118" s="9" t="s">
        <v>285</v>
      </c>
      <c r="I118" s="10"/>
      <c r="J118" s="10"/>
    </row>
    <row r="119" spans="1:10" ht="30" x14ac:dyDescent="0.25">
      <c r="A119" s="6"/>
      <c r="B119" s="7" t="s">
        <v>164</v>
      </c>
      <c r="C119" s="8">
        <v>127</v>
      </c>
      <c r="D119" s="8">
        <v>191</v>
      </c>
      <c r="E119" s="8">
        <v>17</v>
      </c>
      <c r="F119" s="9" t="s">
        <v>89</v>
      </c>
      <c r="G119" s="9" t="s">
        <v>286</v>
      </c>
      <c r="H119" s="9" t="s">
        <v>287</v>
      </c>
      <c r="I119" s="10"/>
      <c r="J119" s="10"/>
    </row>
    <row r="120" spans="1:10" ht="30" x14ac:dyDescent="0.25">
      <c r="A120" s="6"/>
      <c r="B120" s="7" t="s">
        <v>164</v>
      </c>
      <c r="C120" s="8">
        <v>128</v>
      </c>
      <c r="D120" s="8">
        <v>192</v>
      </c>
      <c r="E120" s="8">
        <v>17</v>
      </c>
      <c r="F120" s="9" t="s">
        <v>89</v>
      </c>
      <c r="G120" s="9" t="s">
        <v>288</v>
      </c>
      <c r="H120" s="9" t="s">
        <v>289</v>
      </c>
      <c r="I120" s="10"/>
      <c r="J120" s="10"/>
    </row>
    <row r="121" spans="1:10" ht="30" x14ac:dyDescent="0.25">
      <c r="A121" s="6"/>
      <c r="B121" s="7" t="s">
        <v>164</v>
      </c>
      <c r="C121" s="8">
        <v>129</v>
      </c>
      <c r="D121" s="8">
        <v>193</v>
      </c>
      <c r="E121" s="8">
        <v>17</v>
      </c>
      <c r="F121" s="9" t="s">
        <v>89</v>
      </c>
      <c r="G121" s="9" t="s">
        <v>290</v>
      </c>
      <c r="H121" s="9" t="s">
        <v>291</v>
      </c>
      <c r="I121" s="10"/>
      <c r="J121" s="10"/>
    </row>
    <row r="122" spans="1:10" ht="30" x14ac:dyDescent="0.25">
      <c r="A122" s="6"/>
      <c r="B122" s="7" t="s">
        <v>164</v>
      </c>
      <c r="C122" s="8">
        <v>130</v>
      </c>
      <c r="D122" s="8">
        <v>194</v>
      </c>
      <c r="E122" s="8">
        <v>17</v>
      </c>
      <c r="F122" s="9" t="s">
        <v>89</v>
      </c>
      <c r="G122" s="9" t="s">
        <v>292</v>
      </c>
      <c r="H122" s="9" t="s">
        <v>293</v>
      </c>
      <c r="I122" s="10"/>
      <c r="J122" s="10"/>
    </row>
    <row r="123" spans="1:10" ht="30" x14ac:dyDescent="0.25">
      <c r="A123" s="6"/>
      <c r="B123" s="7" t="s">
        <v>164</v>
      </c>
      <c r="C123" s="8">
        <v>131</v>
      </c>
      <c r="D123" s="8">
        <v>195</v>
      </c>
      <c r="E123" s="8">
        <v>17</v>
      </c>
      <c r="F123" s="9" t="s">
        <v>89</v>
      </c>
      <c r="G123" s="9" t="s">
        <v>76</v>
      </c>
      <c r="H123" s="9"/>
      <c r="I123" s="10"/>
      <c r="J123" s="10"/>
    </row>
    <row r="124" spans="1:10" ht="30" x14ac:dyDescent="0.25">
      <c r="A124" s="6"/>
      <c r="B124" s="7" t="s">
        <v>164</v>
      </c>
      <c r="C124" s="8">
        <v>132</v>
      </c>
      <c r="D124" s="8">
        <v>195</v>
      </c>
      <c r="E124" s="8">
        <v>17</v>
      </c>
      <c r="F124" s="9" t="s">
        <v>89</v>
      </c>
      <c r="G124" s="9" t="s">
        <v>294</v>
      </c>
      <c r="H124" s="9" t="s">
        <v>295</v>
      </c>
      <c r="I124" s="10"/>
      <c r="J124" s="10"/>
    </row>
    <row r="125" spans="1:10" ht="30" x14ac:dyDescent="0.25">
      <c r="A125" s="6"/>
      <c r="B125" s="7" t="s">
        <v>164</v>
      </c>
      <c r="C125" s="8">
        <v>133</v>
      </c>
      <c r="D125" s="8">
        <v>197</v>
      </c>
      <c r="E125" s="8">
        <v>17</v>
      </c>
      <c r="F125" s="9" t="s">
        <v>89</v>
      </c>
      <c r="G125" s="9" t="s">
        <v>296</v>
      </c>
      <c r="H125" s="9" t="s">
        <v>297</v>
      </c>
      <c r="I125" s="10"/>
      <c r="J125" s="10"/>
    </row>
    <row r="126" spans="1:10" ht="30" x14ac:dyDescent="0.25">
      <c r="A126" s="6"/>
      <c r="B126" s="7" t="s">
        <v>164</v>
      </c>
      <c r="C126" s="8">
        <v>141</v>
      </c>
      <c r="D126" s="8">
        <v>207</v>
      </c>
      <c r="E126" s="8">
        <v>18</v>
      </c>
      <c r="F126" s="9" t="s">
        <v>92</v>
      </c>
      <c r="G126" s="9" t="s">
        <v>298</v>
      </c>
      <c r="H126" s="9" t="s">
        <v>299</v>
      </c>
      <c r="I126" s="10"/>
      <c r="J126" s="10"/>
    </row>
    <row r="127" spans="1:10" ht="30" x14ac:dyDescent="0.25">
      <c r="A127" s="6"/>
      <c r="B127" s="7" t="s">
        <v>164</v>
      </c>
      <c r="C127" s="8">
        <v>143</v>
      </c>
      <c r="D127" s="8">
        <v>209</v>
      </c>
      <c r="E127" s="8">
        <v>18</v>
      </c>
      <c r="F127" s="9" t="s">
        <v>92</v>
      </c>
      <c r="G127" s="9" t="s">
        <v>300</v>
      </c>
      <c r="H127" s="9" t="s">
        <v>301</v>
      </c>
      <c r="I127" s="10"/>
      <c r="J127" s="10"/>
    </row>
    <row r="128" spans="1:10" ht="30" x14ac:dyDescent="0.25">
      <c r="A128" s="6"/>
      <c r="B128" s="7" t="s">
        <v>164</v>
      </c>
      <c r="C128" s="8">
        <v>144</v>
      </c>
      <c r="D128" s="8">
        <v>209</v>
      </c>
      <c r="E128" s="8">
        <v>18</v>
      </c>
      <c r="F128" s="9" t="s">
        <v>92</v>
      </c>
      <c r="G128" s="9" t="s">
        <v>302</v>
      </c>
      <c r="H128" s="9" t="s">
        <v>303</v>
      </c>
      <c r="I128" s="10"/>
      <c r="J128" s="10"/>
    </row>
    <row r="129" spans="1:10" ht="30" x14ac:dyDescent="0.25">
      <c r="A129" s="6"/>
      <c r="B129" s="7" t="s">
        <v>164</v>
      </c>
      <c r="C129" s="8">
        <v>145</v>
      </c>
      <c r="D129" s="8">
        <v>211</v>
      </c>
      <c r="E129" s="8">
        <v>18</v>
      </c>
      <c r="F129" s="9" t="s">
        <v>92</v>
      </c>
      <c r="G129" s="9" t="s">
        <v>304</v>
      </c>
      <c r="H129" s="9" t="s">
        <v>305</v>
      </c>
      <c r="I129" s="10"/>
      <c r="J129" s="10"/>
    </row>
    <row r="130" spans="1:10" ht="30" x14ac:dyDescent="0.25">
      <c r="A130" s="6"/>
      <c r="B130" s="7" t="s">
        <v>164</v>
      </c>
      <c r="C130" s="8">
        <v>146</v>
      </c>
      <c r="D130" s="8">
        <v>212</v>
      </c>
      <c r="E130" s="8">
        <v>18</v>
      </c>
      <c r="F130" s="9" t="s">
        <v>92</v>
      </c>
      <c r="G130" s="9" t="s">
        <v>306</v>
      </c>
      <c r="H130" s="9" t="s">
        <v>307</v>
      </c>
      <c r="I130" s="10"/>
      <c r="J130" s="10"/>
    </row>
    <row r="131" spans="1:10" ht="30" x14ac:dyDescent="0.25">
      <c r="A131" s="6"/>
      <c r="B131" s="7" t="s">
        <v>164</v>
      </c>
      <c r="C131" s="8">
        <v>147</v>
      </c>
      <c r="D131" s="8">
        <v>213</v>
      </c>
      <c r="E131" s="8">
        <v>18</v>
      </c>
      <c r="F131" s="9" t="s">
        <v>92</v>
      </c>
      <c r="G131" s="9" t="s">
        <v>308</v>
      </c>
      <c r="H131" s="9" t="s">
        <v>309</v>
      </c>
      <c r="I131" s="10"/>
      <c r="J131" s="10"/>
    </row>
    <row r="132" spans="1:10" ht="30" x14ac:dyDescent="0.25">
      <c r="A132" s="6"/>
      <c r="B132" s="7" t="s">
        <v>164</v>
      </c>
      <c r="C132" s="8">
        <v>148</v>
      </c>
      <c r="D132" s="8">
        <v>213</v>
      </c>
      <c r="E132" s="8">
        <v>18</v>
      </c>
      <c r="F132" s="9" t="s">
        <v>92</v>
      </c>
      <c r="G132" s="9" t="s">
        <v>310</v>
      </c>
      <c r="H132" s="9" t="s">
        <v>311</v>
      </c>
      <c r="I132" s="10"/>
      <c r="J132" s="10"/>
    </row>
    <row r="133" spans="1:10" ht="30" x14ac:dyDescent="0.25">
      <c r="A133" s="6"/>
      <c r="B133" s="7" t="s">
        <v>164</v>
      </c>
      <c r="C133" s="8">
        <v>149</v>
      </c>
      <c r="D133" s="8">
        <v>214</v>
      </c>
      <c r="E133" s="8">
        <v>18</v>
      </c>
      <c r="F133" s="9" t="s">
        <v>92</v>
      </c>
      <c r="G133" s="9" t="s">
        <v>312</v>
      </c>
      <c r="H133" s="9" t="s">
        <v>313</v>
      </c>
      <c r="I133" s="10"/>
      <c r="J133" s="10"/>
    </row>
    <row r="134" spans="1:10" ht="30" x14ac:dyDescent="0.25">
      <c r="A134" s="6"/>
      <c r="B134" s="7" t="s">
        <v>164</v>
      </c>
      <c r="C134" s="8">
        <v>150</v>
      </c>
      <c r="D134" s="8">
        <v>215</v>
      </c>
      <c r="E134" s="8">
        <v>18</v>
      </c>
      <c r="F134" s="9" t="s">
        <v>92</v>
      </c>
      <c r="G134" s="9" t="s">
        <v>314</v>
      </c>
      <c r="H134" s="9" t="s">
        <v>315</v>
      </c>
      <c r="I134" s="10"/>
      <c r="J134" s="10"/>
    </row>
    <row r="135" spans="1:10" ht="30" x14ac:dyDescent="0.25">
      <c r="A135" s="6"/>
      <c r="B135" s="7" t="s">
        <v>164</v>
      </c>
      <c r="C135" s="8">
        <v>151</v>
      </c>
      <c r="D135" s="8">
        <v>216</v>
      </c>
      <c r="E135" s="8">
        <v>18</v>
      </c>
      <c r="F135" s="9" t="s">
        <v>92</v>
      </c>
      <c r="G135" s="9" t="s">
        <v>316</v>
      </c>
      <c r="H135" s="9" t="s">
        <v>317</v>
      </c>
      <c r="I135" s="10"/>
      <c r="J135" s="10"/>
    </row>
    <row r="136" spans="1:10" ht="30" x14ac:dyDescent="0.25">
      <c r="A136" s="6"/>
      <c r="B136" s="7" t="s">
        <v>164</v>
      </c>
      <c r="C136" s="8">
        <v>159</v>
      </c>
      <c r="D136" s="8">
        <v>228</v>
      </c>
      <c r="E136" s="8">
        <v>19</v>
      </c>
      <c r="F136" s="9" t="s">
        <v>105</v>
      </c>
      <c r="G136" s="9" t="s">
        <v>318</v>
      </c>
      <c r="H136" s="9" t="s">
        <v>319</v>
      </c>
      <c r="I136" s="10"/>
      <c r="J136" s="10"/>
    </row>
    <row r="137" spans="1:10" ht="16.5" x14ac:dyDescent="0.25">
      <c r="A137" s="6"/>
      <c r="B137" s="7" t="s">
        <v>164</v>
      </c>
      <c r="C137" s="8">
        <v>160</v>
      </c>
      <c r="D137" s="8">
        <v>229</v>
      </c>
      <c r="E137" s="8">
        <v>19</v>
      </c>
      <c r="F137" s="9" t="s">
        <v>105</v>
      </c>
      <c r="G137" s="9" t="s">
        <v>320</v>
      </c>
      <c r="H137" s="9" t="s">
        <v>321</v>
      </c>
      <c r="I137" s="10"/>
      <c r="J137" s="10"/>
    </row>
    <row r="138" spans="1:10" ht="30" x14ac:dyDescent="0.25">
      <c r="A138" s="6"/>
      <c r="B138" s="7" t="s">
        <v>164</v>
      </c>
      <c r="C138" s="8">
        <v>161</v>
      </c>
      <c r="D138" s="8">
        <v>229</v>
      </c>
      <c r="E138" s="8">
        <v>19</v>
      </c>
      <c r="F138" s="9" t="s">
        <v>105</v>
      </c>
      <c r="G138" s="9" t="s">
        <v>322</v>
      </c>
      <c r="H138" s="9" t="s">
        <v>323</v>
      </c>
      <c r="I138" s="10"/>
      <c r="J138" s="10"/>
    </row>
    <row r="139" spans="1:10" ht="16.5" x14ac:dyDescent="0.25">
      <c r="A139" s="6"/>
      <c r="B139" s="7" t="s">
        <v>164</v>
      </c>
      <c r="C139" s="8">
        <v>162</v>
      </c>
      <c r="D139" s="8">
        <v>230</v>
      </c>
      <c r="E139" s="8">
        <v>19</v>
      </c>
      <c r="F139" s="9" t="s">
        <v>105</v>
      </c>
      <c r="G139" s="9" t="s">
        <v>324</v>
      </c>
      <c r="H139" s="9" t="s">
        <v>325</v>
      </c>
      <c r="I139" s="10"/>
      <c r="J139" s="10"/>
    </row>
    <row r="140" spans="1:10" ht="30" x14ac:dyDescent="0.25">
      <c r="A140" s="6"/>
      <c r="B140" s="7" t="s">
        <v>164</v>
      </c>
      <c r="C140" s="8">
        <v>163</v>
      </c>
      <c r="D140" s="8">
        <v>231</v>
      </c>
      <c r="E140" s="8">
        <v>19</v>
      </c>
      <c r="F140" s="9" t="s">
        <v>105</v>
      </c>
      <c r="G140" s="9" t="s">
        <v>326</v>
      </c>
      <c r="H140" s="9" t="s">
        <v>327</v>
      </c>
      <c r="I140" s="10"/>
      <c r="J140" s="10"/>
    </row>
    <row r="141" spans="1:10" ht="16.5" x14ac:dyDescent="0.25">
      <c r="A141" s="6"/>
      <c r="B141" s="7" t="s">
        <v>164</v>
      </c>
      <c r="C141" s="8">
        <v>164</v>
      </c>
      <c r="D141" s="8">
        <v>231</v>
      </c>
      <c r="E141" s="8">
        <v>19</v>
      </c>
      <c r="F141" s="9" t="s">
        <v>105</v>
      </c>
      <c r="G141" s="9" t="s">
        <v>328</v>
      </c>
      <c r="H141" s="9" t="s">
        <v>329</v>
      </c>
      <c r="I141" s="10"/>
      <c r="J141" s="10"/>
    </row>
    <row r="142" spans="1:10" ht="30" x14ac:dyDescent="0.25">
      <c r="A142" s="6"/>
      <c r="B142" s="7" t="s">
        <v>164</v>
      </c>
      <c r="C142" s="8">
        <v>165</v>
      </c>
      <c r="D142" s="8">
        <v>232</v>
      </c>
      <c r="E142" s="8">
        <v>19</v>
      </c>
      <c r="F142" s="9" t="s">
        <v>105</v>
      </c>
      <c r="G142" s="9" t="s">
        <v>326</v>
      </c>
      <c r="H142" s="9" t="s">
        <v>330</v>
      </c>
      <c r="I142" s="10"/>
      <c r="J142" s="10"/>
    </row>
    <row r="143" spans="1:10" ht="16.5" x14ac:dyDescent="0.25">
      <c r="A143" s="6"/>
      <c r="B143" s="7" t="s">
        <v>164</v>
      </c>
      <c r="C143" s="8">
        <v>166</v>
      </c>
      <c r="D143" s="8">
        <v>233</v>
      </c>
      <c r="E143" s="8">
        <v>19</v>
      </c>
      <c r="F143" s="9" t="s">
        <v>105</v>
      </c>
      <c r="G143" s="9" t="s">
        <v>331</v>
      </c>
      <c r="H143" s="9" t="s">
        <v>332</v>
      </c>
      <c r="I143" s="10"/>
      <c r="J143" s="10"/>
    </row>
    <row r="144" spans="1:10" ht="16.5" x14ac:dyDescent="0.25">
      <c r="A144" s="6"/>
      <c r="B144" s="7" t="s">
        <v>164</v>
      </c>
      <c r="C144" s="8">
        <v>167</v>
      </c>
      <c r="D144" s="8">
        <v>234</v>
      </c>
      <c r="E144" s="8">
        <v>19</v>
      </c>
      <c r="F144" s="9" t="s">
        <v>105</v>
      </c>
      <c r="G144" s="9" t="s">
        <v>333</v>
      </c>
      <c r="H144" s="9" t="s">
        <v>334</v>
      </c>
      <c r="I144" s="10"/>
      <c r="J144" s="10"/>
    </row>
    <row r="145" spans="1:10" ht="16.5" x14ac:dyDescent="0.25">
      <c r="A145" s="6"/>
      <c r="B145" s="7" t="s">
        <v>164</v>
      </c>
      <c r="C145" s="8">
        <v>173</v>
      </c>
      <c r="D145" s="8">
        <v>242</v>
      </c>
      <c r="E145" s="8">
        <v>20</v>
      </c>
      <c r="F145" s="9" t="s">
        <v>108</v>
      </c>
      <c r="G145" s="9" t="s">
        <v>335</v>
      </c>
      <c r="H145" s="9" t="s">
        <v>336</v>
      </c>
      <c r="I145" s="10"/>
      <c r="J145" s="10"/>
    </row>
    <row r="146" spans="1:10" ht="16.5" x14ac:dyDescent="0.25">
      <c r="A146" s="6"/>
      <c r="B146" s="7" t="s">
        <v>164</v>
      </c>
      <c r="C146" s="8">
        <v>174</v>
      </c>
      <c r="D146" s="8">
        <v>243</v>
      </c>
      <c r="E146" s="8">
        <v>20</v>
      </c>
      <c r="F146" s="9" t="s">
        <v>108</v>
      </c>
      <c r="G146" s="9" t="s">
        <v>337</v>
      </c>
      <c r="H146" s="9" t="s">
        <v>338</v>
      </c>
      <c r="I146" s="10"/>
      <c r="J146" s="10"/>
    </row>
    <row r="147" spans="1:10" ht="30" x14ac:dyDescent="0.25">
      <c r="A147" s="6"/>
      <c r="B147" s="7" t="s">
        <v>164</v>
      </c>
      <c r="C147" s="8">
        <v>181</v>
      </c>
      <c r="D147" s="8">
        <v>256</v>
      </c>
      <c r="E147" s="8">
        <v>21</v>
      </c>
      <c r="F147" s="9" t="s">
        <v>111</v>
      </c>
      <c r="G147" s="9" t="s">
        <v>339</v>
      </c>
      <c r="H147" s="9" t="s">
        <v>340</v>
      </c>
      <c r="I147" s="10"/>
      <c r="J147" s="10"/>
    </row>
    <row r="148" spans="1:10" ht="16.5" x14ac:dyDescent="0.25">
      <c r="A148" s="6"/>
      <c r="B148" s="7" t="s">
        <v>164</v>
      </c>
      <c r="C148" s="8">
        <v>184</v>
      </c>
      <c r="D148" s="8">
        <v>259</v>
      </c>
      <c r="E148" s="8">
        <v>21</v>
      </c>
      <c r="F148" s="9" t="s">
        <v>111</v>
      </c>
      <c r="G148" s="9" t="s">
        <v>341</v>
      </c>
      <c r="H148" s="9" t="s">
        <v>342</v>
      </c>
      <c r="I148" s="10"/>
      <c r="J148" s="10"/>
    </row>
    <row r="149" spans="1:10" ht="30" x14ac:dyDescent="0.25">
      <c r="A149" s="6"/>
      <c r="B149" s="7" t="s">
        <v>164</v>
      </c>
      <c r="C149" s="8">
        <v>185</v>
      </c>
      <c r="D149" s="8">
        <v>260</v>
      </c>
      <c r="E149" s="8">
        <v>21</v>
      </c>
      <c r="F149" s="9" t="s">
        <v>111</v>
      </c>
      <c r="G149" s="9" t="s">
        <v>343</v>
      </c>
      <c r="H149" s="9" t="s">
        <v>344</v>
      </c>
      <c r="I149" s="10"/>
      <c r="J149" s="10"/>
    </row>
    <row r="150" spans="1:10" ht="16.5" x14ac:dyDescent="0.25">
      <c r="A150" s="6"/>
      <c r="B150" s="7" t="s">
        <v>164</v>
      </c>
      <c r="C150" s="8">
        <v>190</v>
      </c>
      <c r="D150" s="8">
        <v>267</v>
      </c>
      <c r="E150" s="8">
        <v>22</v>
      </c>
      <c r="F150" s="9" t="s">
        <v>118</v>
      </c>
      <c r="G150" s="9" t="s">
        <v>345</v>
      </c>
      <c r="H150" s="9" t="s">
        <v>346</v>
      </c>
      <c r="I150" s="10"/>
      <c r="J150" s="10"/>
    </row>
    <row r="151" spans="1:10" ht="16.5" x14ac:dyDescent="0.25">
      <c r="A151" s="6"/>
      <c r="B151" s="7" t="s">
        <v>164</v>
      </c>
      <c r="C151" s="8">
        <v>191</v>
      </c>
      <c r="D151" s="8">
        <v>268</v>
      </c>
      <c r="E151" s="8">
        <v>22</v>
      </c>
      <c r="F151" s="9" t="s">
        <v>118</v>
      </c>
      <c r="G151" s="9" t="s">
        <v>347</v>
      </c>
      <c r="H151" s="9" t="s">
        <v>348</v>
      </c>
      <c r="I151" s="10"/>
      <c r="J151" s="10"/>
    </row>
    <row r="152" spans="1:10" ht="16.5" x14ac:dyDescent="0.25">
      <c r="A152" s="6"/>
      <c r="B152" s="7" t="s">
        <v>164</v>
      </c>
      <c r="C152" s="8">
        <v>192</v>
      </c>
      <c r="D152" s="8">
        <v>269</v>
      </c>
      <c r="E152" s="8">
        <v>22</v>
      </c>
      <c r="F152" s="9" t="s">
        <v>118</v>
      </c>
      <c r="G152" s="9" t="s">
        <v>349</v>
      </c>
      <c r="H152" s="9" t="s">
        <v>350</v>
      </c>
      <c r="I152" s="10"/>
      <c r="J152" s="10"/>
    </row>
    <row r="153" spans="1:10" ht="16.5" x14ac:dyDescent="0.25">
      <c r="A153" s="6"/>
      <c r="B153" s="7" t="s">
        <v>164</v>
      </c>
      <c r="C153" s="8">
        <v>197</v>
      </c>
      <c r="D153" s="8">
        <v>276</v>
      </c>
      <c r="E153" s="8">
        <v>23</v>
      </c>
      <c r="F153" s="9" t="s">
        <v>123</v>
      </c>
      <c r="G153" s="9" t="s">
        <v>351</v>
      </c>
      <c r="H153" s="9" t="s">
        <v>352</v>
      </c>
      <c r="I153" s="10"/>
      <c r="J153" s="10"/>
    </row>
    <row r="154" spans="1:10" ht="16.5" x14ac:dyDescent="0.25">
      <c r="A154" s="6"/>
      <c r="B154" s="7" t="s">
        <v>164</v>
      </c>
      <c r="C154" s="8">
        <v>198</v>
      </c>
      <c r="D154" s="8">
        <v>277</v>
      </c>
      <c r="E154" s="8">
        <v>23</v>
      </c>
      <c r="F154" s="9" t="s">
        <v>123</v>
      </c>
      <c r="G154" s="9" t="s">
        <v>353</v>
      </c>
      <c r="H154" s="9" t="s">
        <v>354</v>
      </c>
      <c r="I154" s="10"/>
      <c r="J154" s="10"/>
    </row>
    <row r="155" spans="1:10" ht="30" x14ac:dyDescent="0.25">
      <c r="A155" s="6"/>
      <c r="B155" s="7" t="s">
        <v>164</v>
      </c>
      <c r="C155" s="8">
        <v>202</v>
      </c>
      <c r="D155" s="8">
        <v>281</v>
      </c>
      <c r="E155" s="8">
        <v>24</v>
      </c>
      <c r="F155" s="9" t="s">
        <v>128</v>
      </c>
      <c r="G155" s="9" t="s">
        <v>355</v>
      </c>
      <c r="H155" s="9" t="s">
        <v>356</v>
      </c>
      <c r="I155" s="10"/>
      <c r="J155" s="10"/>
    </row>
    <row r="156" spans="1:10" ht="16.5" x14ac:dyDescent="0.25">
      <c r="A156" s="6"/>
      <c r="B156" s="7" t="s">
        <v>164</v>
      </c>
      <c r="C156" s="8">
        <v>207</v>
      </c>
      <c r="D156" s="8">
        <v>288</v>
      </c>
      <c r="E156" s="8">
        <v>25</v>
      </c>
      <c r="F156" s="9" t="s">
        <v>133</v>
      </c>
      <c r="G156" s="9" t="s">
        <v>357</v>
      </c>
      <c r="H156" s="9" t="s">
        <v>358</v>
      </c>
      <c r="I156" s="10"/>
      <c r="J156" s="10"/>
    </row>
    <row r="157" spans="1:10" ht="30" x14ac:dyDescent="0.25">
      <c r="A157" s="6"/>
      <c r="B157" s="7" t="s">
        <v>164</v>
      </c>
      <c r="C157" s="8">
        <v>213</v>
      </c>
      <c r="D157" s="8">
        <v>296</v>
      </c>
      <c r="E157" s="8">
        <v>26</v>
      </c>
      <c r="F157" s="9" t="s">
        <v>136</v>
      </c>
      <c r="G157" s="9" t="s">
        <v>359</v>
      </c>
      <c r="H157" s="9" t="s">
        <v>360</v>
      </c>
      <c r="I157" s="10"/>
      <c r="J157" s="10"/>
    </row>
    <row r="158" spans="1:10" ht="30" x14ac:dyDescent="0.25">
      <c r="A158" s="6"/>
      <c r="B158" s="7" t="s">
        <v>164</v>
      </c>
      <c r="C158" s="8">
        <v>214</v>
      </c>
      <c r="D158" s="8">
        <v>297</v>
      </c>
      <c r="E158" s="8">
        <v>26</v>
      </c>
      <c r="F158" s="9" t="s">
        <v>136</v>
      </c>
      <c r="G158" s="9" t="s">
        <v>361</v>
      </c>
      <c r="H158" s="9" t="s">
        <v>362</v>
      </c>
      <c r="I158" s="10"/>
      <c r="J158" s="10"/>
    </row>
    <row r="159" spans="1:10" ht="30" x14ac:dyDescent="0.25">
      <c r="A159" s="6"/>
      <c r="B159" s="7" t="s">
        <v>164</v>
      </c>
      <c r="C159" s="8">
        <v>219</v>
      </c>
      <c r="D159" s="8">
        <v>305</v>
      </c>
      <c r="E159" s="8">
        <v>27</v>
      </c>
      <c r="F159" s="9" t="s">
        <v>363</v>
      </c>
      <c r="G159" s="9" t="s">
        <v>364</v>
      </c>
      <c r="H159" s="9" t="s">
        <v>365</v>
      </c>
      <c r="I159" s="10"/>
      <c r="J159" s="10"/>
    </row>
    <row r="160" spans="1:10" ht="16.5" x14ac:dyDescent="0.25">
      <c r="A160" s="6"/>
      <c r="B160" s="7" t="s">
        <v>164</v>
      </c>
      <c r="C160" s="8">
        <v>220</v>
      </c>
      <c r="D160" s="8">
        <v>306</v>
      </c>
      <c r="E160" s="8">
        <v>27</v>
      </c>
      <c r="F160" s="9" t="s">
        <v>363</v>
      </c>
      <c r="G160" s="9" t="s">
        <v>366</v>
      </c>
      <c r="H160" s="9" t="s">
        <v>367</v>
      </c>
      <c r="I160" s="10"/>
      <c r="J160" s="10"/>
    </row>
    <row r="161" spans="1:10" ht="30" x14ac:dyDescent="0.25">
      <c r="A161" s="6"/>
      <c r="B161" s="7" t="s">
        <v>164</v>
      </c>
      <c r="C161" s="8">
        <v>226</v>
      </c>
      <c r="D161" s="8">
        <v>314</v>
      </c>
      <c r="E161" s="8">
        <v>28</v>
      </c>
      <c r="F161" s="9" t="s">
        <v>145</v>
      </c>
      <c r="G161" s="9" t="s">
        <v>368</v>
      </c>
      <c r="H161" s="9" t="s">
        <v>369</v>
      </c>
      <c r="I161" s="10"/>
      <c r="J161" s="10"/>
    </row>
    <row r="162" spans="1:10" ht="30" x14ac:dyDescent="0.25">
      <c r="A162" s="6"/>
      <c r="B162" s="7" t="s">
        <v>164</v>
      </c>
      <c r="C162" s="8">
        <v>227</v>
      </c>
      <c r="D162" s="8">
        <v>314</v>
      </c>
      <c r="E162" s="8">
        <v>28</v>
      </c>
      <c r="F162" s="9" t="s">
        <v>145</v>
      </c>
      <c r="G162" s="9" t="s">
        <v>370</v>
      </c>
      <c r="H162" s="9" t="s">
        <v>371</v>
      </c>
      <c r="I162" s="10"/>
      <c r="J162" s="10"/>
    </row>
    <row r="163" spans="1:10" ht="30" x14ac:dyDescent="0.25">
      <c r="A163" s="6"/>
      <c r="B163" s="7" t="s">
        <v>164</v>
      </c>
      <c r="C163" s="8">
        <v>232</v>
      </c>
      <c r="D163" s="8">
        <v>321</v>
      </c>
      <c r="E163" s="8">
        <v>29</v>
      </c>
      <c r="F163" s="9" t="s">
        <v>148</v>
      </c>
      <c r="G163" s="9" t="s">
        <v>372</v>
      </c>
      <c r="H163" s="9" t="s">
        <v>373</v>
      </c>
      <c r="I163" s="10"/>
      <c r="J163" s="10"/>
    </row>
    <row r="164" spans="1:10" ht="30" x14ac:dyDescent="0.25">
      <c r="A164" s="6"/>
      <c r="B164" s="7" t="s">
        <v>164</v>
      </c>
      <c r="C164" s="8">
        <v>233</v>
      </c>
      <c r="D164" s="8">
        <v>321</v>
      </c>
      <c r="E164" s="8">
        <v>29</v>
      </c>
      <c r="F164" s="9" t="s">
        <v>148</v>
      </c>
      <c r="G164" s="9" t="s">
        <v>374</v>
      </c>
      <c r="H164" s="9" t="s">
        <v>375</v>
      </c>
      <c r="I164" s="10"/>
      <c r="J164" s="10"/>
    </row>
    <row r="165" spans="1:10" ht="30" x14ac:dyDescent="0.25">
      <c r="A165" s="6"/>
      <c r="B165" s="7" t="s">
        <v>164</v>
      </c>
      <c r="C165" s="8">
        <v>234</v>
      </c>
      <c r="D165" s="8">
        <v>323</v>
      </c>
      <c r="E165" s="8">
        <v>29</v>
      </c>
      <c r="F165" s="9" t="s">
        <v>148</v>
      </c>
      <c r="G165" s="9" t="s">
        <v>376</v>
      </c>
      <c r="H165" s="9" t="s">
        <v>377</v>
      </c>
      <c r="I165" s="10"/>
      <c r="J165" s="10"/>
    </row>
    <row r="166" spans="1:10" ht="30" x14ac:dyDescent="0.25">
      <c r="A166" s="6"/>
      <c r="B166" s="7" t="s">
        <v>164</v>
      </c>
      <c r="C166" s="8">
        <v>240</v>
      </c>
      <c r="D166" s="8">
        <v>328</v>
      </c>
      <c r="E166" s="8">
        <v>30</v>
      </c>
      <c r="F166" s="9" t="s">
        <v>155</v>
      </c>
      <c r="G166" s="9" t="s">
        <v>378</v>
      </c>
      <c r="H166" s="9" t="s">
        <v>379</v>
      </c>
      <c r="I166" s="10"/>
      <c r="J166" s="10"/>
    </row>
    <row r="167" spans="1:10" ht="16.5" x14ac:dyDescent="0.25">
      <c r="A167" s="6"/>
      <c r="B167" s="7" t="s">
        <v>164</v>
      </c>
      <c r="C167" s="8">
        <v>241</v>
      </c>
      <c r="D167" s="8">
        <v>329</v>
      </c>
      <c r="E167" s="8">
        <v>30</v>
      </c>
      <c r="F167" s="9" t="s">
        <v>155</v>
      </c>
      <c r="G167" s="9" t="s">
        <v>380</v>
      </c>
      <c r="H167" s="9" t="s">
        <v>381</v>
      </c>
      <c r="I167" s="10"/>
      <c r="J167" s="10"/>
    </row>
    <row r="168" spans="1:10" ht="16.5" x14ac:dyDescent="0.25">
      <c r="A168" s="6"/>
      <c r="B168" s="7" t="s">
        <v>164</v>
      </c>
      <c r="C168" s="8">
        <v>242</v>
      </c>
      <c r="D168" s="8">
        <v>329</v>
      </c>
      <c r="E168" s="8">
        <v>30</v>
      </c>
      <c r="F168" s="9" t="s">
        <v>155</v>
      </c>
      <c r="G168" s="9" t="s">
        <v>382</v>
      </c>
      <c r="H168" s="9" t="s">
        <v>383</v>
      </c>
      <c r="I168" s="10"/>
      <c r="J168" s="10"/>
    </row>
    <row r="169" spans="1:10" ht="30" x14ac:dyDescent="0.25">
      <c r="A169" s="6"/>
      <c r="B169" s="7" t="s">
        <v>164</v>
      </c>
      <c r="C169" s="8">
        <v>243</v>
      </c>
      <c r="D169" s="8">
        <v>330</v>
      </c>
      <c r="E169" s="8">
        <v>30</v>
      </c>
      <c r="F169" s="9" t="s">
        <v>155</v>
      </c>
      <c r="G169" s="9" t="s">
        <v>384</v>
      </c>
      <c r="H169" s="9" t="s">
        <v>98</v>
      </c>
      <c r="I169" s="10"/>
      <c r="J169" s="10"/>
    </row>
    <row r="170" spans="1:10" ht="30" x14ac:dyDescent="0.25">
      <c r="A170" s="11"/>
      <c r="B170" s="12" t="s">
        <v>385</v>
      </c>
      <c r="C170" s="13">
        <v>4</v>
      </c>
      <c r="D170" s="13">
        <v>19</v>
      </c>
      <c r="E170" s="13">
        <v>1</v>
      </c>
      <c r="F170" s="14" t="s">
        <v>26</v>
      </c>
      <c r="G170" s="14" t="s">
        <v>386</v>
      </c>
      <c r="H170" s="14"/>
      <c r="I170" s="15"/>
      <c r="J170" s="15"/>
    </row>
    <row r="171" spans="1:10" ht="16.5" x14ac:dyDescent="0.25">
      <c r="A171" s="6"/>
      <c r="B171" s="7" t="s">
        <v>385</v>
      </c>
      <c r="C171" s="8">
        <v>5</v>
      </c>
      <c r="D171" s="8">
        <v>19</v>
      </c>
      <c r="E171" s="8">
        <v>1</v>
      </c>
      <c r="F171" s="9" t="s">
        <v>26</v>
      </c>
      <c r="G171" s="9" t="s">
        <v>387</v>
      </c>
      <c r="H171" s="9" t="s">
        <v>388</v>
      </c>
      <c r="I171" s="10"/>
      <c r="J171" s="10"/>
    </row>
    <row r="172" spans="1:10" ht="30" x14ac:dyDescent="0.25">
      <c r="A172" s="6"/>
      <c r="B172" s="7" t="s">
        <v>385</v>
      </c>
      <c r="C172" s="8">
        <v>11</v>
      </c>
      <c r="D172" s="8">
        <v>30</v>
      </c>
      <c r="E172" s="8">
        <v>2</v>
      </c>
      <c r="F172" s="9" t="s">
        <v>29</v>
      </c>
      <c r="G172" s="9" t="s">
        <v>389</v>
      </c>
      <c r="H172" s="9" t="s">
        <v>390</v>
      </c>
      <c r="I172" s="10"/>
      <c r="J172" s="10"/>
    </row>
    <row r="173" spans="1:10" ht="16.5" x14ac:dyDescent="0.25">
      <c r="A173" s="6"/>
      <c r="B173" s="7" t="s">
        <v>385</v>
      </c>
      <c r="C173" s="8">
        <v>12</v>
      </c>
      <c r="D173" s="8">
        <v>32</v>
      </c>
      <c r="E173" s="8">
        <v>2</v>
      </c>
      <c r="F173" s="9" t="s">
        <v>29</v>
      </c>
      <c r="G173" s="9" t="s">
        <v>391</v>
      </c>
      <c r="H173" s="9" t="s">
        <v>392</v>
      </c>
      <c r="I173" s="10"/>
      <c r="J173" s="10"/>
    </row>
    <row r="174" spans="1:10" ht="30" x14ac:dyDescent="0.25">
      <c r="A174" s="6"/>
      <c r="B174" s="7" t="s">
        <v>385</v>
      </c>
      <c r="C174" s="8">
        <v>21</v>
      </c>
      <c r="D174" s="8">
        <v>46</v>
      </c>
      <c r="E174" s="8">
        <v>4</v>
      </c>
      <c r="F174" s="9" t="s">
        <v>39</v>
      </c>
      <c r="G174" s="9" t="s">
        <v>393</v>
      </c>
      <c r="H174" s="9" t="s">
        <v>394</v>
      </c>
      <c r="I174" s="10"/>
      <c r="J174" s="10"/>
    </row>
    <row r="175" spans="1:10" ht="16.5" x14ac:dyDescent="0.25">
      <c r="A175" s="6"/>
      <c r="B175" s="7" t="s">
        <v>385</v>
      </c>
      <c r="C175" s="8">
        <v>22</v>
      </c>
      <c r="D175" s="8">
        <v>47</v>
      </c>
      <c r="E175" s="8">
        <v>4</v>
      </c>
      <c r="F175" s="9" t="s">
        <v>39</v>
      </c>
      <c r="G175" s="9" t="s">
        <v>395</v>
      </c>
      <c r="H175" s="9" t="s">
        <v>396</v>
      </c>
      <c r="I175" s="10"/>
      <c r="J175" s="10"/>
    </row>
    <row r="176" spans="1:10" ht="16.5" x14ac:dyDescent="0.25">
      <c r="A176" s="6"/>
      <c r="B176" s="7" t="s">
        <v>385</v>
      </c>
      <c r="C176" s="8">
        <v>29</v>
      </c>
      <c r="D176" s="8">
        <v>56</v>
      </c>
      <c r="E176" s="8">
        <v>6</v>
      </c>
      <c r="F176" s="9" t="s">
        <v>42</v>
      </c>
      <c r="G176" s="9" t="s">
        <v>397</v>
      </c>
      <c r="H176" s="9" t="s">
        <v>398</v>
      </c>
      <c r="I176" s="10"/>
      <c r="J176" s="10"/>
    </row>
    <row r="177" spans="1:10" ht="16.5" x14ac:dyDescent="0.25">
      <c r="A177" s="6"/>
      <c r="B177" s="7" t="s">
        <v>385</v>
      </c>
      <c r="C177" s="8">
        <v>30</v>
      </c>
      <c r="D177" s="8">
        <v>57</v>
      </c>
      <c r="E177" s="8">
        <v>6</v>
      </c>
      <c r="F177" s="9" t="s">
        <v>42</v>
      </c>
      <c r="G177" s="9" t="s">
        <v>399</v>
      </c>
      <c r="H177" s="9" t="s">
        <v>400</v>
      </c>
      <c r="I177" s="10"/>
      <c r="J177" s="10"/>
    </row>
    <row r="178" spans="1:10" ht="30" x14ac:dyDescent="0.25">
      <c r="A178" s="6"/>
      <c r="B178" s="7" t="s">
        <v>385</v>
      </c>
      <c r="C178" s="8">
        <v>33</v>
      </c>
      <c r="D178" s="8">
        <v>64</v>
      </c>
      <c r="E178" s="8">
        <v>7</v>
      </c>
      <c r="F178" s="9" t="s">
        <v>47</v>
      </c>
      <c r="G178" s="9" t="s">
        <v>401</v>
      </c>
      <c r="H178" s="9" t="s">
        <v>402</v>
      </c>
      <c r="I178" s="10"/>
      <c r="J178" s="10"/>
    </row>
    <row r="179" spans="1:10" ht="30" x14ac:dyDescent="0.25">
      <c r="A179" s="6"/>
      <c r="B179" s="7" t="s">
        <v>385</v>
      </c>
      <c r="C179" s="8">
        <v>34</v>
      </c>
      <c r="D179" s="8">
        <v>65</v>
      </c>
      <c r="E179" s="8">
        <v>7</v>
      </c>
      <c r="F179" s="9" t="s">
        <v>47</v>
      </c>
      <c r="G179" s="9" t="s">
        <v>403</v>
      </c>
      <c r="H179" s="9" t="s">
        <v>152</v>
      </c>
      <c r="I179" s="10"/>
      <c r="J179" s="10"/>
    </row>
    <row r="180" spans="1:10" ht="30" x14ac:dyDescent="0.25">
      <c r="A180" s="6"/>
      <c r="B180" s="7" t="s">
        <v>385</v>
      </c>
      <c r="C180" s="8">
        <v>37</v>
      </c>
      <c r="D180" s="8">
        <v>72</v>
      </c>
      <c r="E180" s="8">
        <v>8</v>
      </c>
      <c r="F180" s="9" t="s">
        <v>50</v>
      </c>
      <c r="G180" s="9" t="s">
        <v>404</v>
      </c>
      <c r="H180" s="9" t="s">
        <v>405</v>
      </c>
      <c r="I180" s="10"/>
      <c r="J180" s="10"/>
    </row>
    <row r="181" spans="1:10" ht="16.5" x14ac:dyDescent="0.25">
      <c r="A181" s="6"/>
      <c r="B181" s="7" t="s">
        <v>385</v>
      </c>
      <c r="C181" s="8">
        <v>42</v>
      </c>
      <c r="D181" s="8">
        <v>81</v>
      </c>
      <c r="E181" s="8">
        <v>9</v>
      </c>
      <c r="F181" s="9" t="s">
        <v>53</v>
      </c>
      <c r="G181" s="9" t="s">
        <v>406</v>
      </c>
      <c r="H181" s="9" t="s">
        <v>407</v>
      </c>
      <c r="I181" s="10"/>
      <c r="J181" s="10"/>
    </row>
    <row r="182" spans="1:10" ht="16.5" x14ac:dyDescent="0.25">
      <c r="A182" s="6"/>
      <c r="B182" s="7" t="s">
        <v>385</v>
      </c>
      <c r="C182" s="8">
        <v>44</v>
      </c>
      <c r="D182" s="8">
        <v>83</v>
      </c>
      <c r="E182" s="8">
        <v>9</v>
      </c>
      <c r="F182" s="9" t="s">
        <v>53</v>
      </c>
      <c r="G182" s="9" t="s">
        <v>408</v>
      </c>
      <c r="H182" s="9" t="s">
        <v>409</v>
      </c>
      <c r="I182" s="10"/>
      <c r="J182" s="10"/>
    </row>
    <row r="183" spans="1:10" ht="16.5" x14ac:dyDescent="0.25">
      <c r="A183" s="6"/>
      <c r="B183" s="7" t="s">
        <v>385</v>
      </c>
      <c r="C183" s="8">
        <v>45</v>
      </c>
      <c r="D183" s="8">
        <v>86</v>
      </c>
      <c r="E183" s="8">
        <v>9</v>
      </c>
      <c r="F183" s="9" t="s">
        <v>53</v>
      </c>
      <c r="G183" s="9" t="s">
        <v>410</v>
      </c>
      <c r="H183" s="9" t="s">
        <v>411</v>
      </c>
      <c r="I183" s="10"/>
      <c r="J183" s="10"/>
    </row>
    <row r="184" spans="1:10" ht="30" x14ac:dyDescent="0.25">
      <c r="A184" s="6"/>
      <c r="B184" s="7" t="s">
        <v>385</v>
      </c>
      <c r="C184" s="8">
        <v>52</v>
      </c>
      <c r="D184" s="8">
        <v>95</v>
      </c>
      <c r="E184" s="8">
        <v>10</v>
      </c>
      <c r="F184" s="9" t="s">
        <v>58</v>
      </c>
      <c r="G184" s="9" t="s">
        <v>412</v>
      </c>
      <c r="H184" s="9" t="s">
        <v>413</v>
      </c>
      <c r="I184" s="10"/>
      <c r="J184" s="10"/>
    </row>
    <row r="185" spans="1:10" ht="16.5" x14ac:dyDescent="0.25">
      <c r="A185" s="6"/>
      <c r="B185" s="7" t="s">
        <v>385</v>
      </c>
      <c r="C185" s="8">
        <v>53</v>
      </c>
      <c r="D185" s="8">
        <v>96</v>
      </c>
      <c r="E185" s="8">
        <v>10</v>
      </c>
      <c r="F185" s="9" t="s">
        <v>58</v>
      </c>
      <c r="G185" s="9" t="s">
        <v>414</v>
      </c>
      <c r="H185" s="9" t="s">
        <v>415</v>
      </c>
      <c r="I185" s="10"/>
      <c r="J185" s="10"/>
    </row>
    <row r="186" spans="1:10" ht="16.5" x14ac:dyDescent="0.25">
      <c r="A186" s="6"/>
      <c r="B186" s="7" t="s">
        <v>385</v>
      </c>
      <c r="C186" s="8">
        <v>54</v>
      </c>
      <c r="D186" s="8">
        <v>98</v>
      </c>
      <c r="E186" s="8">
        <v>10</v>
      </c>
      <c r="F186" s="9" t="s">
        <v>58</v>
      </c>
      <c r="G186" s="9" t="s">
        <v>416</v>
      </c>
      <c r="H186" s="9" t="s">
        <v>417</v>
      </c>
      <c r="I186" s="10"/>
      <c r="J186" s="10"/>
    </row>
    <row r="187" spans="1:10" ht="30" x14ac:dyDescent="0.25">
      <c r="A187" s="6"/>
      <c r="B187" s="7" t="s">
        <v>385</v>
      </c>
      <c r="C187" s="8">
        <v>61</v>
      </c>
      <c r="D187" s="8">
        <v>108</v>
      </c>
      <c r="E187" s="8">
        <v>11</v>
      </c>
      <c r="F187" s="9" t="s">
        <v>63</v>
      </c>
      <c r="G187" s="9" t="s">
        <v>418</v>
      </c>
      <c r="H187" s="9" t="s">
        <v>419</v>
      </c>
      <c r="I187" s="10"/>
      <c r="J187" s="10"/>
    </row>
    <row r="188" spans="1:10" ht="16.5" x14ac:dyDescent="0.25">
      <c r="A188" s="6"/>
      <c r="B188" s="7" t="s">
        <v>385</v>
      </c>
      <c r="C188" s="8">
        <v>62</v>
      </c>
      <c r="D188" s="8">
        <v>110</v>
      </c>
      <c r="E188" s="8">
        <v>11</v>
      </c>
      <c r="F188" s="9" t="s">
        <v>63</v>
      </c>
      <c r="G188" s="9" t="s">
        <v>420</v>
      </c>
      <c r="H188" s="9" t="s">
        <v>421</v>
      </c>
      <c r="I188" s="10"/>
      <c r="J188" s="10"/>
    </row>
    <row r="189" spans="1:10" ht="16.5" x14ac:dyDescent="0.25">
      <c r="A189" s="6"/>
      <c r="B189" s="7" t="s">
        <v>385</v>
      </c>
      <c r="C189" s="8">
        <v>63</v>
      </c>
      <c r="D189" s="8">
        <v>111</v>
      </c>
      <c r="E189" s="8">
        <v>11</v>
      </c>
      <c r="F189" s="9" t="s">
        <v>63</v>
      </c>
      <c r="G189" s="9" t="s">
        <v>422</v>
      </c>
      <c r="H189" s="9" t="s">
        <v>423</v>
      </c>
      <c r="I189" s="10"/>
      <c r="J189" s="10"/>
    </row>
    <row r="190" spans="1:10" ht="30" x14ac:dyDescent="0.25">
      <c r="A190" s="6"/>
      <c r="B190" s="7" t="s">
        <v>385</v>
      </c>
      <c r="C190" s="8">
        <v>68</v>
      </c>
      <c r="D190" s="8">
        <v>120</v>
      </c>
      <c r="E190" s="8">
        <v>12</v>
      </c>
      <c r="F190" s="9" t="s">
        <v>68</v>
      </c>
      <c r="G190" s="9" t="s">
        <v>416</v>
      </c>
      <c r="H190" s="9" t="s">
        <v>424</v>
      </c>
      <c r="I190" s="10"/>
      <c r="J190" s="10"/>
    </row>
    <row r="191" spans="1:10" ht="30" x14ac:dyDescent="0.25">
      <c r="A191" s="6"/>
      <c r="B191" s="7" t="s">
        <v>385</v>
      </c>
      <c r="C191" s="8">
        <v>69</v>
      </c>
      <c r="D191" s="8">
        <v>122</v>
      </c>
      <c r="E191" s="8">
        <v>12</v>
      </c>
      <c r="F191" s="9" t="s">
        <v>68</v>
      </c>
      <c r="G191" s="9" t="s">
        <v>425</v>
      </c>
      <c r="H191" s="9" t="s">
        <v>426</v>
      </c>
      <c r="I191" s="10"/>
      <c r="J191" s="10"/>
    </row>
    <row r="192" spans="1:10" ht="30" x14ac:dyDescent="0.25">
      <c r="A192" s="6"/>
      <c r="B192" s="7" t="s">
        <v>385</v>
      </c>
      <c r="C192" s="8">
        <v>70</v>
      </c>
      <c r="D192" s="8">
        <v>123</v>
      </c>
      <c r="E192" s="8">
        <v>12</v>
      </c>
      <c r="F192" s="9" t="s">
        <v>68</v>
      </c>
      <c r="G192" s="9" t="s">
        <v>427</v>
      </c>
      <c r="H192" s="9" t="s">
        <v>428</v>
      </c>
      <c r="I192" s="10"/>
      <c r="J192" s="10"/>
    </row>
    <row r="193" spans="1:10" ht="30" x14ac:dyDescent="0.25">
      <c r="A193" s="6"/>
      <c r="B193" s="7" t="s">
        <v>385</v>
      </c>
      <c r="C193" s="8">
        <v>71</v>
      </c>
      <c r="D193" s="8">
        <v>123</v>
      </c>
      <c r="E193" s="8">
        <v>12</v>
      </c>
      <c r="F193" s="9" t="s">
        <v>68</v>
      </c>
      <c r="G193" s="9" t="s">
        <v>429</v>
      </c>
      <c r="H193" s="9" t="s">
        <v>430</v>
      </c>
      <c r="I193" s="10"/>
      <c r="J193" s="10"/>
    </row>
    <row r="194" spans="1:10" ht="30" x14ac:dyDescent="0.25">
      <c r="A194" s="6"/>
      <c r="B194" s="7" t="s">
        <v>385</v>
      </c>
      <c r="C194" s="8">
        <v>82</v>
      </c>
      <c r="D194" s="8">
        <v>137</v>
      </c>
      <c r="E194" s="8">
        <v>13</v>
      </c>
      <c r="F194" s="9" t="s">
        <v>71</v>
      </c>
      <c r="G194" s="9" t="s">
        <v>376</v>
      </c>
      <c r="H194" s="9" t="s">
        <v>431</v>
      </c>
      <c r="I194" s="10"/>
      <c r="J194" s="10"/>
    </row>
    <row r="195" spans="1:10" ht="30" x14ac:dyDescent="0.25">
      <c r="A195" s="6"/>
      <c r="B195" s="7" t="s">
        <v>385</v>
      </c>
      <c r="C195" s="8">
        <v>87</v>
      </c>
      <c r="D195" s="8">
        <v>144</v>
      </c>
      <c r="E195" s="8">
        <v>14</v>
      </c>
      <c r="F195" s="9" t="s">
        <v>77</v>
      </c>
      <c r="G195" s="9" t="s">
        <v>432</v>
      </c>
      <c r="H195" s="9" t="s">
        <v>433</v>
      </c>
      <c r="I195" s="10"/>
      <c r="J195" s="10"/>
    </row>
    <row r="196" spans="1:10" ht="16.5" x14ac:dyDescent="0.25">
      <c r="A196" s="6"/>
      <c r="B196" s="7" t="s">
        <v>385</v>
      </c>
      <c r="C196" s="8">
        <v>88</v>
      </c>
      <c r="D196" s="8">
        <v>144</v>
      </c>
      <c r="E196" s="8">
        <v>14</v>
      </c>
      <c r="F196" s="9" t="s">
        <v>77</v>
      </c>
      <c r="G196" s="9" t="s">
        <v>434</v>
      </c>
      <c r="H196" s="9" t="s">
        <v>435</v>
      </c>
      <c r="I196" s="10"/>
      <c r="J196" s="10"/>
    </row>
    <row r="197" spans="1:10" ht="16.5" x14ac:dyDescent="0.25">
      <c r="A197" s="6"/>
      <c r="B197" s="7" t="s">
        <v>385</v>
      </c>
      <c r="C197" s="8">
        <v>89</v>
      </c>
      <c r="D197" s="8">
        <v>146</v>
      </c>
      <c r="E197" s="8">
        <v>14</v>
      </c>
      <c r="F197" s="9" t="s">
        <v>77</v>
      </c>
      <c r="G197" s="9" t="s">
        <v>260</v>
      </c>
      <c r="H197" s="9" t="s">
        <v>436</v>
      </c>
      <c r="I197" s="10"/>
      <c r="J197" s="10"/>
    </row>
    <row r="198" spans="1:10" ht="16.5" x14ac:dyDescent="0.25">
      <c r="A198" s="6"/>
      <c r="B198" s="7" t="s">
        <v>385</v>
      </c>
      <c r="C198" s="8">
        <v>90</v>
      </c>
      <c r="D198" s="8">
        <v>147</v>
      </c>
      <c r="E198" s="8">
        <v>14</v>
      </c>
      <c r="F198" s="9" t="s">
        <v>77</v>
      </c>
      <c r="G198" s="9" t="s">
        <v>437</v>
      </c>
      <c r="H198" s="9" t="s">
        <v>438</v>
      </c>
      <c r="I198" s="10"/>
      <c r="J198" s="10"/>
    </row>
    <row r="199" spans="1:10" ht="45" x14ac:dyDescent="0.25">
      <c r="A199" s="6"/>
      <c r="B199" s="7" t="s">
        <v>385</v>
      </c>
      <c r="C199" s="8">
        <v>102</v>
      </c>
      <c r="D199" s="8">
        <v>160</v>
      </c>
      <c r="E199" s="8">
        <v>15</v>
      </c>
      <c r="F199" s="9" t="s">
        <v>80</v>
      </c>
      <c r="G199" s="9" t="s">
        <v>439</v>
      </c>
      <c r="H199" s="9" t="s">
        <v>440</v>
      </c>
      <c r="I199" s="10"/>
      <c r="J199" s="10"/>
    </row>
    <row r="200" spans="1:10" ht="45" x14ac:dyDescent="0.25">
      <c r="A200" s="6"/>
      <c r="B200" s="7" t="s">
        <v>385</v>
      </c>
      <c r="C200" s="8">
        <v>103</v>
      </c>
      <c r="D200" s="8">
        <v>160</v>
      </c>
      <c r="E200" s="8">
        <v>15</v>
      </c>
      <c r="F200" s="9" t="s">
        <v>80</v>
      </c>
      <c r="G200" s="9" t="s">
        <v>353</v>
      </c>
      <c r="H200" s="9" t="s">
        <v>441</v>
      </c>
      <c r="I200" s="10"/>
      <c r="J200" s="10"/>
    </row>
    <row r="201" spans="1:10" ht="45" x14ac:dyDescent="0.25">
      <c r="A201" s="6"/>
      <c r="B201" s="7" t="s">
        <v>385</v>
      </c>
      <c r="C201" s="8">
        <v>104</v>
      </c>
      <c r="D201" s="8">
        <v>161</v>
      </c>
      <c r="E201" s="8">
        <v>15</v>
      </c>
      <c r="F201" s="9" t="s">
        <v>80</v>
      </c>
      <c r="G201" s="9" t="s">
        <v>314</v>
      </c>
      <c r="H201" s="9" t="s">
        <v>442</v>
      </c>
      <c r="I201" s="10"/>
      <c r="J201" s="10"/>
    </row>
    <row r="202" spans="1:10" ht="45" x14ac:dyDescent="0.25">
      <c r="A202" s="6"/>
      <c r="B202" s="7" t="s">
        <v>385</v>
      </c>
      <c r="C202" s="8">
        <v>105</v>
      </c>
      <c r="D202" s="8">
        <v>163</v>
      </c>
      <c r="E202" s="8">
        <v>15</v>
      </c>
      <c r="F202" s="9" t="s">
        <v>80</v>
      </c>
      <c r="G202" s="9" t="s">
        <v>443</v>
      </c>
      <c r="H202" s="9" t="s">
        <v>444</v>
      </c>
      <c r="I202" s="10"/>
      <c r="J202" s="10"/>
    </row>
    <row r="203" spans="1:10" ht="45" x14ac:dyDescent="0.25">
      <c r="A203" s="6"/>
      <c r="B203" s="7" t="s">
        <v>385</v>
      </c>
      <c r="C203" s="8">
        <v>106</v>
      </c>
      <c r="D203" s="8">
        <v>164</v>
      </c>
      <c r="E203" s="8">
        <v>15</v>
      </c>
      <c r="F203" s="9" t="s">
        <v>80</v>
      </c>
      <c r="G203" s="9" t="s">
        <v>445</v>
      </c>
      <c r="H203" s="9" t="s">
        <v>446</v>
      </c>
      <c r="I203" s="10"/>
      <c r="J203" s="10"/>
    </row>
    <row r="204" spans="1:10" ht="45" x14ac:dyDescent="0.25">
      <c r="A204" s="6"/>
      <c r="B204" s="7" t="s">
        <v>385</v>
      </c>
      <c r="C204" s="8">
        <v>107</v>
      </c>
      <c r="D204" s="8">
        <v>166</v>
      </c>
      <c r="E204" s="8">
        <v>15</v>
      </c>
      <c r="F204" s="9" t="s">
        <v>80</v>
      </c>
      <c r="G204" s="9" t="s">
        <v>447</v>
      </c>
      <c r="H204" s="9" t="s">
        <v>448</v>
      </c>
      <c r="I204" s="10"/>
      <c r="J204" s="10"/>
    </row>
    <row r="205" spans="1:10" ht="45" x14ac:dyDescent="0.25">
      <c r="A205" s="6"/>
      <c r="B205" s="7" t="s">
        <v>385</v>
      </c>
      <c r="C205" s="8">
        <v>108</v>
      </c>
      <c r="D205" s="8">
        <v>168</v>
      </c>
      <c r="E205" s="8">
        <v>15</v>
      </c>
      <c r="F205" s="9" t="s">
        <v>80</v>
      </c>
      <c r="G205" s="9" t="s">
        <v>449</v>
      </c>
      <c r="H205" s="9" t="s">
        <v>450</v>
      </c>
      <c r="I205" s="10"/>
      <c r="J205" s="10"/>
    </row>
    <row r="206" spans="1:10" ht="45" x14ac:dyDescent="0.25">
      <c r="A206" s="6"/>
      <c r="B206" s="7" t="s">
        <v>385</v>
      </c>
      <c r="C206" s="8">
        <v>109</v>
      </c>
      <c r="D206" s="8">
        <v>169</v>
      </c>
      <c r="E206" s="8">
        <v>15</v>
      </c>
      <c r="F206" s="9" t="s">
        <v>80</v>
      </c>
      <c r="G206" s="9" t="s">
        <v>376</v>
      </c>
      <c r="H206" s="9" t="s">
        <v>451</v>
      </c>
      <c r="I206" s="10"/>
      <c r="J206" s="10"/>
    </row>
    <row r="207" spans="1:10" ht="45" x14ac:dyDescent="0.25">
      <c r="A207" s="6"/>
      <c r="B207" s="7" t="s">
        <v>385</v>
      </c>
      <c r="C207" s="8">
        <v>110</v>
      </c>
      <c r="D207" s="8">
        <v>169</v>
      </c>
      <c r="E207" s="8">
        <v>15</v>
      </c>
      <c r="F207" s="9" t="s">
        <v>80</v>
      </c>
      <c r="G207" s="9" t="s">
        <v>452</v>
      </c>
      <c r="H207" s="9" t="s">
        <v>453</v>
      </c>
      <c r="I207" s="10"/>
      <c r="J207" s="10"/>
    </row>
    <row r="208" spans="1:10" ht="16.5" x14ac:dyDescent="0.25">
      <c r="A208" s="6"/>
      <c r="B208" s="7" t="s">
        <v>385</v>
      </c>
      <c r="C208" s="8">
        <v>118</v>
      </c>
      <c r="D208" s="8">
        <v>177</v>
      </c>
      <c r="E208" s="8">
        <v>16</v>
      </c>
      <c r="F208" s="9" t="s">
        <v>83</v>
      </c>
      <c r="G208" s="9" t="s">
        <v>454</v>
      </c>
      <c r="H208" s="9" t="s">
        <v>225</v>
      </c>
      <c r="I208" s="10"/>
      <c r="J208" s="10"/>
    </row>
    <row r="209" spans="1:10" ht="30" x14ac:dyDescent="0.25">
      <c r="A209" s="6"/>
      <c r="B209" s="7" t="s">
        <v>385</v>
      </c>
      <c r="C209" s="8">
        <v>134</v>
      </c>
      <c r="D209" s="8">
        <v>198</v>
      </c>
      <c r="E209" s="8">
        <v>17</v>
      </c>
      <c r="F209" s="9" t="s">
        <v>89</v>
      </c>
      <c r="G209" s="9" t="s">
        <v>294</v>
      </c>
      <c r="H209" s="9" t="s">
        <v>295</v>
      </c>
      <c r="I209" s="10"/>
      <c r="J209" s="10"/>
    </row>
    <row r="210" spans="1:10" ht="30" x14ac:dyDescent="0.25">
      <c r="A210" s="6"/>
      <c r="B210" s="7" t="s">
        <v>385</v>
      </c>
      <c r="C210" s="8">
        <v>135</v>
      </c>
      <c r="D210" s="8">
        <v>200</v>
      </c>
      <c r="E210" s="8">
        <v>17</v>
      </c>
      <c r="F210" s="9" t="s">
        <v>89</v>
      </c>
      <c r="G210" s="9" t="s">
        <v>455</v>
      </c>
      <c r="H210" s="9" t="s">
        <v>456</v>
      </c>
      <c r="I210" s="10"/>
      <c r="J210" s="10"/>
    </row>
    <row r="211" spans="1:10" ht="30" x14ac:dyDescent="0.25">
      <c r="A211" s="6"/>
      <c r="B211" s="7" t="s">
        <v>385</v>
      </c>
      <c r="C211" s="8">
        <v>152</v>
      </c>
      <c r="D211" s="8">
        <v>218</v>
      </c>
      <c r="E211" s="8">
        <v>18</v>
      </c>
      <c r="F211" s="9" t="s">
        <v>92</v>
      </c>
      <c r="G211" s="9" t="s">
        <v>457</v>
      </c>
      <c r="H211" s="9" t="s">
        <v>458</v>
      </c>
      <c r="I211" s="10"/>
      <c r="J211" s="10"/>
    </row>
    <row r="212" spans="1:10" ht="30" x14ac:dyDescent="0.25">
      <c r="A212" s="6"/>
      <c r="B212" s="7" t="s">
        <v>385</v>
      </c>
      <c r="C212" s="8">
        <v>153</v>
      </c>
      <c r="D212" s="8">
        <v>219</v>
      </c>
      <c r="E212" s="8">
        <v>18</v>
      </c>
      <c r="F212" s="9" t="s">
        <v>92</v>
      </c>
      <c r="G212" s="9" t="s">
        <v>459</v>
      </c>
      <c r="H212" s="9" t="s">
        <v>460</v>
      </c>
      <c r="I212" s="10"/>
      <c r="J212" s="10"/>
    </row>
    <row r="213" spans="1:10" ht="30" x14ac:dyDescent="0.25">
      <c r="A213" s="6"/>
      <c r="B213" s="7" t="s">
        <v>385</v>
      </c>
      <c r="C213" s="8">
        <v>154</v>
      </c>
      <c r="D213" s="8">
        <v>222</v>
      </c>
      <c r="E213" s="8">
        <v>18</v>
      </c>
      <c r="F213" s="9" t="s">
        <v>92</v>
      </c>
      <c r="G213" s="9" t="s">
        <v>461</v>
      </c>
      <c r="H213" s="9" t="s">
        <v>462</v>
      </c>
      <c r="I213" s="10"/>
      <c r="J213" s="10"/>
    </row>
    <row r="214" spans="1:10" ht="30" x14ac:dyDescent="0.25">
      <c r="A214" s="6"/>
      <c r="B214" s="7" t="s">
        <v>385</v>
      </c>
      <c r="C214" s="8">
        <v>155</v>
      </c>
      <c r="D214" s="8">
        <v>222</v>
      </c>
      <c r="E214" s="8">
        <v>18</v>
      </c>
      <c r="F214" s="9" t="s">
        <v>92</v>
      </c>
      <c r="G214" s="9" t="s">
        <v>463</v>
      </c>
      <c r="H214" s="9" t="s">
        <v>464</v>
      </c>
      <c r="I214" s="10"/>
      <c r="J214" s="10"/>
    </row>
    <row r="215" spans="1:10" ht="30" x14ac:dyDescent="0.25">
      <c r="A215" s="6"/>
      <c r="B215" s="7" t="s">
        <v>385</v>
      </c>
      <c r="C215" s="8">
        <v>156</v>
      </c>
      <c r="D215" s="8">
        <v>223</v>
      </c>
      <c r="E215" s="8">
        <v>18</v>
      </c>
      <c r="F215" s="9" t="s">
        <v>92</v>
      </c>
      <c r="G215" s="9" t="s">
        <v>465</v>
      </c>
      <c r="H215" s="9" t="s">
        <v>466</v>
      </c>
      <c r="I215" s="10"/>
      <c r="J215" s="10"/>
    </row>
    <row r="216" spans="1:10" ht="30" x14ac:dyDescent="0.25">
      <c r="A216" s="6"/>
      <c r="B216" s="7" t="s">
        <v>385</v>
      </c>
      <c r="C216" s="8">
        <v>157</v>
      </c>
      <c r="D216" s="8">
        <v>225</v>
      </c>
      <c r="E216" s="8">
        <v>18</v>
      </c>
      <c r="F216" s="9" t="s">
        <v>92</v>
      </c>
      <c r="G216" s="9" t="s">
        <v>376</v>
      </c>
      <c r="H216" s="9" t="s">
        <v>467</v>
      </c>
      <c r="I216" s="10"/>
      <c r="J216" s="10"/>
    </row>
    <row r="217" spans="1:10" ht="16.5" x14ac:dyDescent="0.25">
      <c r="A217" s="6"/>
      <c r="B217" s="7" t="s">
        <v>385</v>
      </c>
      <c r="C217" s="8">
        <v>168</v>
      </c>
      <c r="D217" s="8">
        <v>236</v>
      </c>
      <c r="E217" s="8">
        <v>19</v>
      </c>
      <c r="F217" s="9" t="s">
        <v>105</v>
      </c>
      <c r="G217" s="9" t="s">
        <v>468</v>
      </c>
      <c r="H217" s="9" t="s">
        <v>469</v>
      </c>
      <c r="I217" s="10"/>
      <c r="J217" s="10"/>
    </row>
    <row r="218" spans="1:10" ht="16.5" x14ac:dyDescent="0.25">
      <c r="A218" s="6"/>
      <c r="B218" s="7" t="s">
        <v>385</v>
      </c>
      <c r="C218" s="8">
        <v>169</v>
      </c>
      <c r="D218" s="8">
        <v>237</v>
      </c>
      <c r="E218" s="8">
        <v>19</v>
      </c>
      <c r="F218" s="9" t="s">
        <v>105</v>
      </c>
      <c r="G218" s="9" t="s">
        <v>470</v>
      </c>
      <c r="H218" s="9" t="s">
        <v>471</v>
      </c>
      <c r="I218" s="10"/>
      <c r="J218" s="10"/>
    </row>
    <row r="219" spans="1:10" ht="30" x14ac:dyDescent="0.25">
      <c r="A219" s="6"/>
      <c r="B219" s="7" t="s">
        <v>385</v>
      </c>
      <c r="C219" s="8">
        <v>170</v>
      </c>
      <c r="D219" s="8">
        <v>238</v>
      </c>
      <c r="E219" s="8">
        <v>19</v>
      </c>
      <c r="F219" s="9" t="s">
        <v>105</v>
      </c>
      <c r="G219" s="9" t="s">
        <v>76</v>
      </c>
      <c r="H219" s="9"/>
      <c r="I219" s="10"/>
      <c r="J219" s="10"/>
    </row>
    <row r="220" spans="1:10" ht="30" x14ac:dyDescent="0.25">
      <c r="A220" s="6"/>
      <c r="B220" s="7" t="s">
        <v>385</v>
      </c>
      <c r="C220" s="8">
        <v>171</v>
      </c>
      <c r="D220" s="8">
        <v>239</v>
      </c>
      <c r="E220" s="8">
        <v>19</v>
      </c>
      <c r="F220" s="9" t="s">
        <v>105</v>
      </c>
      <c r="G220" s="9" t="s">
        <v>76</v>
      </c>
      <c r="H220" s="9"/>
      <c r="I220" s="10"/>
      <c r="J220" s="10"/>
    </row>
    <row r="221" spans="1:10" ht="30" x14ac:dyDescent="0.25">
      <c r="A221" s="6"/>
      <c r="B221" s="7" t="s">
        <v>385</v>
      </c>
      <c r="C221" s="8">
        <v>175</v>
      </c>
      <c r="D221" s="8">
        <v>244</v>
      </c>
      <c r="E221" s="8">
        <v>20</v>
      </c>
      <c r="F221" s="9" t="s">
        <v>108</v>
      </c>
      <c r="G221" s="9" t="s">
        <v>472</v>
      </c>
      <c r="H221" s="9" t="s">
        <v>473</v>
      </c>
      <c r="I221" s="10"/>
      <c r="J221" s="10"/>
    </row>
    <row r="222" spans="1:10" ht="16.5" x14ac:dyDescent="0.25">
      <c r="A222" s="6"/>
      <c r="B222" s="7" t="s">
        <v>385</v>
      </c>
      <c r="C222" s="8">
        <v>176</v>
      </c>
      <c r="D222" s="8">
        <v>246</v>
      </c>
      <c r="E222" s="8">
        <v>20</v>
      </c>
      <c r="F222" s="9" t="s">
        <v>108</v>
      </c>
      <c r="G222" s="9" t="s">
        <v>474</v>
      </c>
      <c r="H222" s="9" t="s">
        <v>475</v>
      </c>
      <c r="I222" s="10"/>
      <c r="J222" s="10"/>
    </row>
    <row r="223" spans="1:10" ht="30" x14ac:dyDescent="0.25">
      <c r="A223" s="6"/>
      <c r="B223" s="7" t="s">
        <v>385</v>
      </c>
      <c r="C223" s="8">
        <v>177</v>
      </c>
      <c r="D223" s="8">
        <v>247</v>
      </c>
      <c r="E223" s="8">
        <v>20</v>
      </c>
      <c r="F223" s="9" t="s">
        <v>108</v>
      </c>
      <c r="G223" s="9" t="s">
        <v>476</v>
      </c>
      <c r="H223" s="9" t="s">
        <v>477</v>
      </c>
      <c r="I223" s="10"/>
      <c r="J223" s="10"/>
    </row>
    <row r="224" spans="1:10" ht="30" x14ac:dyDescent="0.25">
      <c r="A224" s="6"/>
      <c r="B224" s="7" t="s">
        <v>385</v>
      </c>
      <c r="C224" s="8">
        <v>178</v>
      </c>
      <c r="D224" s="8">
        <v>249</v>
      </c>
      <c r="E224" s="8">
        <v>20</v>
      </c>
      <c r="F224" s="9" t="s">
        <v>108</v>
      </c>
      <c r="G224" s="9" t="s">
        <v>478</v>
      </c>
      <c r="H224" s="9" t="s">
        <v>479</v>
      </c>
      <c r="I224" s="10"/>
      <c r="J224" s="10"/>
    </row>
    <row r="225" spans="1:10" ht="16.5" x14ac:dyDescent="0.25">
      <c r="A225" s="6"/>
      <c r="B225" s="7" t="s">
        <v>385</v>
      </c>
      <c r="C225" s="8">
        <v>179</v>
      </c>
      <c r="D225" s="8">
        <v>251</v>
      </c>
      <c r="E225" s="8">
        <v>20</v>
      </c>
      <c r="F225" s="9" t="s">
        <v>108</v>
      </c>
      <c r="G225" s="9" t="s">
        <v>480</v>
      </c>
      <c r="H225" s="9" t="s">
        <v>481</v>
      </c>
      <c r="I225" s="10"/>
      <c r="J225" s="10"/>
    </row>
    <row r="226" spans="1:10" ht="16.5" x14ac:dyDescent="0.25">
      <c r="A226" s="6"/>
      <c r="B226" s="7" t="s">
        <v>385</v>
      </c>
      <c r="C226" s="8">
        <v>186</v>
      </c>
      <c r="D226" s="8">
        <v>261</v>
      </c>
      <c r="E226" s="8">
        <v>21</v>
      </c>
      <c r="F226" s="9" t="s">
        <v>111</v>
      </c>
      <c r="G226" s="9" t="s">
        <v>482</v>
      </c>
      <c r="H226" s="9" t="s">
        <v>483</v>
      </c>
      <c r="I226" s="10"/>
      <c r="J226" s="10"/>
    </row>
    <row r="227" spans="1:10" ht="16.5" x14ac:dyDescent="0.25">
      <c r="A227" s="6"/>
      <c r="B227" s="7" t="s">
        <v>385</v>
      </c>
      <c r="C227" s="8">
        <v>187</v>
      </c>
      <c r="D227" s="8">
        <v>262</v>
      </c>
      <c r="E227" s="8">
        <v>21</v>
      </c>
      <c r="F227" s="9" t="s">
        <v>111</v>
      </c>
      <c r="G227" s="9" t="s">
        <v>484</v>
      </c>
      <c r="H227" s="9" t="s">
        <v>485</v>
      </c>
      <c r="I227" s="10"/>
      <c r="J227" s="10"/>
    </row>
    <row r="228" spans="1:10" ht="16.5" x14ac:dyDescent="0.25">
      <c r="A228" s="6"/>
      <c r="B228" s="7" t="s">
        <v>385</v>
      </c>
      <c r="C228" s="8">
        <v>193</v>
      </c>
      <c r="D228" s="8">
        <v>271</v>
      </c>
      <c r="E228" s="8">
        <v>22</v>
      </c>
      <c r="F228" s="9" t="s">
        <v>118</v>
      </c>
      <c r="G228" s="9" t="s">
        <v>486</v>
      </c>
      <c r="H228" s="9" t="s">
        <v>487</v>
      </c>
      <c r="I228" s="10"/>
      <c r="J228" s="10"/>
    </row>
    <row r="229" spans="1:10" ht="16.5" x14ac:dyDescent="0.25">
      <c r="A229" s="6"/>
      <c r="B229" s="7" t="s">
        <v>385</v>
      </c>
      <c r="C229" s="8">
        <v>194</v>
      </c>
      <c r="D229" s="8">
        <v>273</v>
      </c>
      <c r="E229" s="8">
        <v>22</v>
      </c>
      <c r="F229" s="9" t="s">
        <v>118</v>
      </c>
      <c r="G229" s="9" t="s">
        <v>391</v>
      </c>
      <c r="H229" s="9" t="s">
        <v>488</v>
      </c>
      <c r="I229" s="10"/>
      <c r="J229" s="10"/>
    </row>
    <row r="230" spans="1:10" ht="16.5" x14ac:dyDescent="0.25">
      <c r="A230" s="6"/>
      <c r="B230" s="7" t="s">
        <v>385</v>
      </c>
      <c r="C230" s="8">
        <v>199</v>
      </c>
      <c r="D230" s="8">
        <v>278</v>
      </c>
      <c r="E230" s="8">
        <v>23</v>
      </c>
      <c r="F230" s="9" t="s">
        <v>123</v>
      </c>
      <c r="G230" s="9" t="s">
        <v>489</v>
      </c>
      <c r="H230" s="9" t="s">
        <v>490</v>
      </c>
      <c r="I230" s="10"/>
      <c r="J230" s="10"/>
    </row>
    <row r="231" spans="1:10" ht="16.5" x14ac:dyDescent="0.25">
      <c r="A231" s="6"/>
      <c r="B231" s="7" t="s">
        <v>385</v>
      </c>
      <c r="C231" s="8">
        <v>203</v>
      </c>
      <c r="D231" s="8">
        <v>281</v>
      </c>
      <c r="E231" s="8">
        <v>24</v>
      </c>
      <c r="F231" s="9" t="s">
        <v>128</v>
      </c>
      <c r="G231" s="9" t="s">
        <v>491</v>
      </c>
      <c r="H231" s="9" t="s">
        <v>492</v>
      </c>
      <c r="I231" s="10"/>
      <c r="J231" s="10"/>
    </row>
    <row r="232" spans="1:10" ht="16.5" x14ac:dyDescent="0.25">
      <c r="A232" s="6"/>
      <c r="B232" s="7" t="s">
        <v>385</v>
      </c>
      <c r="C232" s="8">
        <v>204</v>
      </c>
      <c r="D232" s="8">
        <v>282</v>
      </c>
      <c r="E232" s="8">
        <v>24</v>
      </c>
      <c r="F232" s="9" t="s">
        <v>128</v>
      </c>
      <c r="G232" s="9" t="s">
        <v>493</v>
      </c>
      <c r="H232" s="9" t="s">
        <v>494</v>
      </c>
      <c r="I232" s="10"/>
      <c r="J232" s="10"/>
    </row>
    <row r="233" spans="1:10" ht="16.5" x14ac:dyDescent="0.25">
      <c r="A233" s="6"/>
      <c r="B233" s="7" t="s">
        <v>385</v>
      </c>
      <c r="C233" s="8">
        <v>205</v>
      </c>
      <c r="D233" s="8">
        <v>284</v>
      </c>
      <c r="E233" s="8">
        <v>24</v>
      </c>
      <c r="F233" s="9" t="s">
        <v>128</v>
      </c>
      <c r="G233" s="9" t="s">
        <v>495</v>
      </c>
      <c r="H233" s="9" t="s">
        <v>496</v>
      </c>
      <c r="I233" s="10"/>
      <c r="J233" s="10"/>
    </row>
    <row r="234" spans="1:10" ht="16.5" x14ac:dyDescent="0.25">
      <c r="A234" s="6"/>
      <c r="B234" s="7" t="s">
        <v>385</v>
      </c>
      <c r="C234" s="8">
        <v>208</v>
      </c>
      <c r="D234" s="8">
        <v>289</v>
      </c>
      <c r="E234" s="8">
        <v>25</v>
      </c>
      <c r="F234" s="9" t="s">
        <v>133</v>
      </c>
      <c r="G234" s="9" t="s">
        <v>497</v>
      </c>
      <c r="H234" s="9" t="s">
        <v>498</v>
      </c>
      <c r="I234" s="10"/>
      <c r="J234" s="10"/>
    </row>
    <row r="235" spans="1:10" ht="30" x14ac:dyDescent="0.25">
      <c r="A235" s="6"/>
      <c r="B235" s="7" t="s">
        <v>385</v>
      </c>
      <c r="C235" s="8">
        <v>215</v>
      </c>
      <c r="D235" s="8">
        <v>298</v>
      </c>
      <c r="E235" s="8">
        <v>26</v>
      </c>
      <c r="F235" s="9" t="s">
        <v>136</v>
      </c>
      <c r="G235" s="9" t="s">
        <v>499</v>
      </c>
      <c r="H235" s="9" t="s">
        <v>500</v>
      </c>
      <c r="I235" s="10"/>
      <c r="J235" s="10"/>
    </row>
    <row r="236" spans="1:10" ht="30" x14ac:dyDescent="0.25">
      <c r="A236" s="6"/>
      <c r="B236" s="7" t="s">
        <v>385</v>
      </c>
      <c r="C236" s="8">
        <v>216</v>
      </c>
      <c r="D236" s="8">
        <v>299</v>
      </c>
      <c r="E236" s="8">
        <v>26</v>
      </c>
      <c r="F236" s="9" t="s">
        <v>136</v>
      </c>
      <c r="G236" s="9" t="s">
        <v>501</v>
      </c>
      <c r="H236" s="9" t="s">
        <v>502</v>
      </c>
      <c r="I236" s="10"/>
      <c r="J236" s="10"/>
    </row>
    <row r="237" spans="1:10" ht="30" x14ac:dyDescent="0.25">
      <c r="A237" s="6"/>
      <c r="B237" s="7" t="s">
        <v>385</v>
      </c>
      <c r="C237" s="8">
        <v>217</v>
      </c>
      <c r="D237" s="8">
        <v>300</v>
      </c>
      <c r="E237" s="8">
        <v>26</v>
      </c>
      <c r="F237" s="9" t="s">
        <v>136</v>
      </c>
      <c r="G237" s="9" t="s">
        <v>503</v>
      </c>
      <c r="H237" s="9" t="s">
        <v>504</v>
      </c>
      <c r="I237" s="10"/>
      <c r="J237" s="10"/>
    </row>
    <row r="238" spans="1:10" ht="30" x14ac:dyDescent="0.25">
      <c r="A238" s="6"/>
      <c r="B238" s="7" t="s">
        <v>385</v>
      </c>
      <c r="C238" s="8">
        <v>218</v>
      </c>
      <c r="D238" s="8">
        <v>301</v>
      </c>
      <c r="E238" s="8">
        <v>26</v>
      </c>
      <c r="F238" s="9" t="s">
        <v>136</v>
      </c>
      <c r="G238" s="9" t="s">
        <v>505</v>
      </c>
      <c r="H238" s="9" t="s">
        <v>506</v>
      </c>
      <c r="I238" s="10"/>
      <c r="J238" s="10"/>
    </row>
    <row r="239" spans="1:10" ht="16.5" x14ac:dyDescent="0.25">
      <c r="A239" s="6"/>
      <c r="B239" s="7" t="s">
        <v>385</v>
      </c>
      <c r="C239" s="8">
        <v>221</v>
      </c>
      <c r="D239" s="8">
        <v>307</v>
      </c>
      <c r="E239" s="8">
        <v>27</v>
      </c>
      <c r="F239" s="9" t="s">
        <v>363</v>
      </c>
      <c r="G239" s="9" t="s">
        <v>507</v>
      </c>
      <c r="H239" s="9" t="s">
        <v>508</v>
      </c>
      <c r="I239" s="10"/>
      <c r="J239" s="10"/>
    </row>
    <row r="240" spans="1:10" ht="30" x14ac:dyDescent="0.25">
      <c r="A240" s="6"/>
      <c r="B240" s="7" t="s">
        <v>385</v>
      </c>
      <c r="C240" s="8">
        <v>222</v>
      </c>
      <c r="D240" s="8">
        <v>307</v>
      </c>
      <c r="E240" s="8">
        <v>27</v>
      </c>
      <c r="F240" s="9" t="s">
        <v>363</v>
      </c>
      <c r="G240" s="9" t="s">
        <v>509</v>
      </c>
      <c r="H240" s="9" t="s">
        <v>510</v>
      </c>
      <c r="I240" s="10"/>
      <c r="J240" s="10"/>
    </row>
    <row r="241" spans="1:10" ht="16.5" x14ac:dyDescent="0.25">
      <c r="A241" s="6"/>
      <c r="B241" s="7" t="s">
        <v>385</v>
      </c>
      <c r="C241" s="8">
        <v>223</v>
      </c>
      <c r="D241" s="8">
        <v>309</v>
      </c>
      <c r="E241" s="8">
        <v>27</v>
      </c>
      <c r="F241" s="9" t="s">
        <v>363</v>
      </c>
      <c r="G241" s="9" t="s">
        <v>511</v>
      </c>
      <c r="H241" s="9" t="s">
        <v>512</v>
      </c>
      <c r="I241" s="10"/>
      <c r="J241" s="10"/>
    </row>
    <row r="242" spans="1:10" ht="30" x14ac:dyDescent="0.25">
      <c r="A242" s="6"/>
      <c r="B242" s="7" t="s">
        <v>385</v>
      </c>
      <c r="C242" s="8">
        <v>224</v>
      </c>
      <c r="D242" s="8">
        <v>310</v>
      </c>
      <c r="E242" s="8">
        <v>27</v>
      </c>
      <c r="F242" s="9" t="s">
        <v>363</v>
      </c>
      <c r="G242" s="9" t="s">
        <v>513</v>
      </c>
      <c r="H242" s="9" t="s">
        <v>514</v>
      </c>
      <c r="I242" s="10"/>
      <c r="J242" s="10"/>
    </row>
    <row r="243" spans="1:10" ht="16.5" x14ac:dyDescent="0.25">
      <c r="A243" s="6"/>
      <c r="B243" s="7" t="s">
        <v>385</v>
      </c>
      <c r="C243" s="8">
        <v>228</v>
      </c>
      <c r="D243" s="8">
        <v>315</v>
      </c>
      <c r="E243" s="8">
        <v>28</v>
      </c>
      <c r="F243" s="9" t="s">
        <v>145</v>
      </c>
      <c r="G243" s="9" t="s">
        <v>515</v>
      </c>
      <c r="H243" s="9" t="s">
        <v>516</v>
      </c>
      <c r="I243" s="10"/>
      <c r="J243" s="10"/>
    </row>
    <row r="244" spans="1:10" ht="30" x14ac:dyDescent="0.25">
      <c r="A244" s="6"/>
      <c r="B244" s="7" t="s">
        <v>385</v>
      </c>
      <c r="C244" s="8">
        <v>235</v>
      </c>
      <c r="D244" s="8">
        <v>324</v>
      </c>
      <c r="E244" s="8">
        <v>29</v>
      </c>
      <c r="F244" s="9" t="s">
        <v>148</v>
      </c>
      <c r="G244" s="9" t="s">
        <v>517</v>
      </c>
      <c r="H244" s="9" t="s">
        <v>518</v>
      </c>
      <c r="I244" s="10"/>
      <c r="J244" s="10"/>
    </row>
    <row r="245" spans="1:10" ht="16.5" x14ac:dyDescent="0.25">
      <c r="A245" s="6"/>
      <c r="B245" s="7" t="s">
        <v>385</v>
      </c>
      <c r="C245" s="8">
        <v>244</v>
      </c>
      <c r="D245" s="8">
        <v>331</v>
      </c>
      <c r="E245" s="8">
        <v>30</v>
      </c>
      <c r="F245" s="9" t="s">
        <v>155</v>
      </c>
      <c r="G245" s="9" t="s">
        <v>519</v>
      </c>
      <c r="H245" s="9" t="s">
        <v>481</v>
      </c>
      <c r="I245" s="10"/>
      <c r="J245" s="10"/>
    </row>
    <row r="246" spans="1:10" ht="16.5" x14ac:dyDescent="0.25">
      <c r="A246" s="6"/>
      <c r="B246" s="7" t="s">
        <v>385</v>
      </c>
      <c r="C246" s="8">
        <v>245</v>
      </c>
      <c r="D246" s="8">
        <v>332</v>
      </c>
      <c r="E246" s="8">
        <v>30</v>
      </c>
      <c r="F246" s="9" t="s">
        <v>155</v>
      </c>
      <c r="G246" s="9" t="s">
        <v>520</v>
      </c>
      <c r="H246" s="9" t="s">
        <v>521</v>
      </c>
      <c r="I246" s="10"/>
      <c r="J246" s="10"/>
    </row>
    <row r="247" spans="1:10" ht="16.5" x14ac:dyDescent="0.25">
      <c r="A247" s="6"/>
      <c r="B247" s="7" t="s">
        <v>385</v>
      </c>
      <c r="C247" s="8">
        <v>246</v>
      </c>
      <c r="D247" s="8">
        <v>332</v>
      </c>
      <c r="E247" s="8">
        <v>30</v>
      </c>
      <c r="F247" s="9" t="s">
        <v>155</v>
      </c>
      <c r="G247" s="9" t="s">
        <v>522</v>
      </c>
      <c r="H247" s="9" t="s">
        <v>523</v>
      </c>
      <c r="I247" s="10"/>
      <c r="J247" s="10"/>
    </row>
    <row r="248" spans="1:10" ht="16.5" x14ac:dyDescent="0.25">
      <c r="A248" s="6"/>
      <c r="B248" s="7" t="s">
        <v>385</v>
      </c>
      <c r="C248" s="8">
        <v>247</v>
      </c>
      <c r="D248" s="8">
        <v>333</v>
      </c>
      <c r="E248" s="8">
        <v>30</v>
      </c>
      <c r="F248" s="9" t="s">
        <v>155</v>
      </c>
      <c r="G248" s="9" t="s">
        <v>524</v>
      </c>
      <c r="H248" s="9" t="s">
        <v>525</v>
      </c>
      <c r="I248" s="10"/>
      <c r="J248" s="10"/>
    </row>
    <row r="249" spans="1:10" ht="30" x14ac:dyDescent="0.25">
      <c r="A249" s="6"/>
      <c r="B249" s="7" t="s">
        <v>385</v>
      </c>
      <c r="C249" s="8">
        <v>248</v>
      </c>
      <c r="D249" s="8">
        <v>336</v>
      </c>
      <c r="E249" s="8">
        <v>30</v>
      </c>
      <c r="F249" s="9" t="s">
        <v>155</v>
      </c>
      <c r="G249" s="9" t="s">
        <v>526</v>
      </c>
      <c r="H249" s="9" t="s">
        <v>527</v>
      </c>
      <c r="I249" s="10"/>
      <c r="J249" s="10"/>
    </row>
  </sheetData>
  <autoFilter ref="A1:J249" xr:uid="{00000000-0009-0000-0000-000001000000}"/>
  <conditionalFormatting sqref="A2:J249">
    <cfRule type="expression" dxfId="0" priority="1">
      <formula>$A2&lt;&gt;""</formula>
    </cfRule>
  </conditionalFormatting>
  <printOptions horizontalCentered="1"/>
  <pageMargins left="0.5" right="0.5" top="0.6" bottom="0.6" header="0.5" footer="0.5"/>
  <pageSetup paperSize="9" fitToHeight="0" orientation="landscape"/>
  <headerFooter>
    <oddFooter>&amp;C&amp;8 Le parcours en trois niveaux — Manuel complet du jeu positionnel, tome 1 — olibris.fr/sakaev1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8"/>
  <sheetViews>
    <sheetView workbookViewId="0"/>
  </sheetViews>
  <sheetFormatPr baseColWidth="10" defaultColWidth="9.140625" defaultRowHeight="15" x14ac:dyDescent="0.25"/>
  <cols>
    <col min="1" max="1" width="9" customWidth="1"/>
    <col min="2" max="2" width="52" customWidth="1"/>
    <col min="3" max="3" width="7" customWidth="1"/>
    <col min="4" max="6" width="8" customWidth="1"/>
    <col min="7" max="7" width="10" customWidth="1"/>
    <col min="8" max="9" width="8" customWidth="1"/>
  </cols>
  <sheetData>
    <row r="1" spans="1:9" ht="23.25" x14ac:dyDescent="0.35">
      <c r="A1" s="16" t="s">
        <v>528</v>
      </c>
    </row>
    <row r="3" spans="1:9" x14ac:dyDescent="0.25">
      <c r="B3" s="17" t="s">
        <v>529</v>
      </c>
      <c r="C3" s="18">
        <f>COUNTIFS(Parcours!$B$2:$B$249,"★",Parcours!$A$2:$A$249,"&lt;&gt;")</f>
        <v>0</v>
      </c>
      <c r="D3" s="19" t="s">
        <v>530</v>
      </c>
      <c r="E3" s="20">
        <f>C3/56</f>
        <v>0</v>
      </c>
    </row>
    <row r="4" spans="1:9" x14ac:dyDescent="0.25">
      <c r="B4" s="17" t="s">
        <v>531</v>
      </c>
      <c r="C4" s="18">
        <f>COUNTIFS(Parcours!$B$2:$B$249,"★★",Parcours!$A$2:$A$249,"&lt;&gt;")</f>
        <v>0</v>
      </c>
      <c r="D4" s="19" t="s">
        <v>532</v>
      </c>
      <c r="E4" s="20">
        <f>C4/112</f>
        <v>0</v>
      </c>
    </row>
    <row r="5" spans="1:9" x14ac:dyDescent="0.25">
      <c r="B5" s="17" t="s">
        <v>533</v>
      </c>
      <c r="C5" s="18">
        <f>COUNTIFS(Parcours!$B$2:$B$249,"★★★",Parcours!$A$2:$A$249,"&lt;&gt;")</f>
        <v>0</v>
      </c>
      <c r="D5" s="19" t="s">
        <v>534</v>
      </c>
      <c r="E5" s="20">
        <f>C5/80</f>
        <v>0</v>
      </c>
    </row>
    <row r="8" spans="1:9" ht="16.5" x14ac:dyDescent="0.25">
      <c r="A8" s="5" t="s">
        <v>19</v>
      </c>
      <c r="B8" s="5" t="s">
        <v>535</v>
      </c>
      <c r="C8" s="5" t="s">
        <v>18</v>
      </c>
      <c r="D8" s="21" t="s">
        <v>25</v>
      </c>
      <c r="E8" s="21" t="s">
        <v>164</v>
      </c>
      <c r="F8" s="21" t="s">
        <v>385</v>
      </c>
      <c r="G8" s="5" t="s">
        <v>536</v>
      </c>
      <c r="H8" s="5" t="s">
        <v>537</v>
      </c>
      <c r="I8" s="5" t="s">
        <v>538</v>
      </c>
    </row>
    <row r="9" spans="1:9" x14ac:dyDescent="0.25">
      <c r="A9" s="8">
        <v>1</v>
      </c>
      <c r="B9" s="9" t="s">
        <v>26</v>
      </c>
      <c r="C9" s="8">
        <v>15</v>
      </c>
      <c r="D9" s="8">
        <f>COUNTIFS(Parcours!$E$2:$E$249,1,Parcours!$B$2:$B$249,"★")</f>
        <v>1</v>
      </c>
      <c r="E9" s="8">
        <f>COUNTIFS(Parcours!$E$2:$E$249,1,Parcours!$B$2:$B$249,"★★")</f>
        <v>2</v>
      </c>
      <c r="F9" s="8">
        <f>COUNTIFS(Parcours!$E$2:$E$249,1,Parcours!$B$2:$B$249,"★★★")</f>
        <v>2</v>
      </c>
      <c r="G9" s="8">
        <f t="shared" ref="G9:G38" si="0">SUM(D9:F9)</f>
        <v>5</v>
      </c>
      <c r="H9" s="8">
        <f>COUNTIFS(Parcours!$E$2:$E$249,1,Parcours!$A$2:$A$249,"&lt;&gt;")</f>
        <v>0</v>
      </c>
      <c r="I9" s="22">
        <f t="shared" ref="I9:I38" si="1">IF(G9=0,"",H9/G9)</f>
        <v>0</v>
      </c>
    </row>
    <row r="10" spans="1:9" x14ac:dyDescent="0.25">
      <c r="A10" s="8">
        <v>2</v>
      </c>
      <c r="B10" s="9" t="s">
        <v>29</v>
      </c>
      <c r="C10" s="8">
        <v>23</v>
      </c>
      <c r="D10" s="8">
        <f>COUNTIFS(Parcours!$E$2:$E$249,2,Parcours!$B$2:$B$249,"★")</f>
        <v>3</v>
      </c>
      <c r="E10" s="8">
        <f>COUNTIFS(Parcours!$E$2:$E$249,2,Parcours!$B$2:$B$249,"★★")</f>
        <v>2</v>
      </c>
      <c r="F10" s="8">
        <f>COUNTIFS(Parcours!$E$2:$E$249,2,Parcours!$B$2:$B$249,"★★★")</f>
        <v>2</v>
      </c>
      <c r="G10" s="8">
        <f t="shared" si="0"/>
        <v>7</v>
      </c>
      <c r="H10" s="8">
        <f>COUNTIFS(Parcours!$E$2:$E$249,2,Parcours!$A$2:$A$249,"&lt;&gt;")</f>
        <v>0</v>
      </c>
      <c r="I10" s="22">
        <f t="shared" si="1"/>
        <v>0</v>
      </c>
    </row>
    <row r="11" spans="1:9" ht="30" x14ac:dyDescent="0.25">
      <c r="A11" s="8">
        <v>3</v>
      </c>
      <c r="B11" s="9" t="s">
        <v>36</v>
      </c>
      <c r="C11" s="8">
        <v>35</v>
      </c>
      <c r="D11" s="8">
        <f>COUNTIFS(Parcours!$E$2:$E$249,3,Parcours!$B$2:$B$249,"★")</f>
        <v>1</v>
      </c>
      <c r="E11" s="8">
        <f>COUNTIFS(Parcours!$E$2:$E$249,3,Parcours!$B$2:$B$249,"★★")</f>
        <v>3</v>
      </c>
      <c r="F11" s="8">
        <f>COUNTIFS(Parcours!$E$2:$E$249,3,Parcours!$B$2:$B$249,"★★★")</f>
        <v>0</v>
      </c>
      <c r="G11" s="8">
        <f t="shared" si="0"/>
        <v>4</v>
      </c>
      <c r="H11" s="8">
        <f>COUNTIFS(Parcours!$E$2:$E$249,3,Parcours!$A$2:$A$249,"&lt;&gt;")</f>
        <v>0</v>
      </c>
      <c r="I11" s="22">
        <f t="shared" si="1"/>
        <v>0</v>
      </c>
    </row>
    <row r="12" spans="1:9" x14ac:dyDescent="0.25">
      <c r="A12" s="8">
        <v>4</v>
      </c>
      <c r="B12" s="9" t="s">
        <v>39</v>
      </c>
      <c r="C12" s="8">
        <v>41</v>
      </c>
      <c r="D12" s="8">
        <f>COUNTIFS(Parcours!$E$2:$E$249,4,Parcours!$B$2:$B$249,"★")</f>
        <v>1</v>
      </c>
      <c r="E12" s="8">
        <f>COUNTIFS(Parcours!$E$2:$E$249,4,Parcours!$B$2:$B$249,"★★")</f>
        <v>3</v>
      </c>
      <c r="F12" s="8">
        <f>COUNTIFS(Parcours!$E$2:$E$249,4,Parcours!$B$2:$B$249,"★★★")</f>
        <v>2</v>
      </c>
      <c r="G12" s="8">
        <f t="shared" si="0"/>
        <v>6</v>
      </c>
      <c r="H12" s="8">
        <f>COUNTIFS(Parcours!$E$2:$E$249,4,Parcours!$A$2:$A$249,"&lt;&gt;")</f>
        <v>0</v>
      </c>
      <c r="I12" s="22">
        <f t="shared" si="1"/>
        <v>0</v>
      </c>
    </row>
    <row r="13" spans="1:9" x14ac:dyDescent="0.25">
      <c r="A13" s="8">
        <v>5</v>
      </c>
      <c r="B13" s="9" t="s">
        <v>185</v>
      </c>
      <c r="C13" s="8">
        <v>49</v>
      </c>
      <c r="D13" s="8">
        <f>COUNTIFS(Parcours!$E$2:$E$249,5,Parcours!$B$2:$B$249,"★")</f>
        <v>0</v>
      </c>
      <c r="E13" s="8">
        <f>COUNTIFS(Parcours!$E$2:$E$249,5,Parcours!$B$2:$B$249,"★★")</f>
        <v>3</v>
      </c>
      <c r="F13" s="8">
        <f>COUNTIFS(Parcours!$E$2:$E$249,5,Parcours!$B$2:$B$249,"★★★")</f>
        <v>0</v>
      </c>
      <c r="G13" s="8">
        <f t="shared" si="0"/>
        <v>3</v>
      </c>
      <c r="H13" s="8">
        <f>COUNTIFS(Parcours!$E$2:$E$249,5,Parcours!$A$2:$A$249,"&lt;&gt;")</f>
        <v>0</v>
      </c>
      <c r="I13" s="22">
        <f t="shared" si="1"/>
        <v>0</v>
      </c>
    </row>
    <row r="14" spans="1:9" x14ac:dyDescent="0.25">
      <c r="A14" s="8">
        <v>6</v>
      </c>
      <c r="B14" s="9" t="s">
        <v>42</v>
      </c>
      <c r="C14" s="8">
        <v>53</v>
      </c>
      <c r="D14" s="8">
        <f>COUNTIFS(Parcours!$E$2:$E$249,6,Parcours!$B$2:$B$249,"★")</f>
        <v>2</v>
      </c>
      <c r="E14" s="8">
        <f>COUNTIFS(Parcours!$E$2:$E$249,6,Parcours!$B$2:$B$249,"★★")</f>
        <v>1</v>
      </c>
      <c r="F14" s="8">
        <f>COUNTIFS(Parcours!$E$2:$E$249,6,Parcours!$B$2:$B$249,"★★★")</f>
        <v>2</v>
      </c>
      <c r="G14" s="8">
        <f t="shared" si="0"/>
        <v>5</v>
      </c>
      <c r="H14" s="8">
        <f>COUNTIFS(Parcours!$E$2:$E$249,6,Parcours!$A$2:$A$249,"&lt;&gt;")</f>
        <v>0</v>
      </c>
      <c r="I14" s="22">
        <f t="shared" si="1"/>
        <v>0</v>
      </c>
    </row>
    <row r="15" spans="1:9" x14ac:dyDescent="0.25">
      <c r="A15" s="8">
        <v>7</v>
      </c>
      <c r="B15" s="9" t="s">
        <v>47</v>
      </c>
      <c r="C15" s="8">
        <v>61</v>
      </c>
      <c r="D15" s="8">
        <f>COUNTIFS(Parcours!$E$2:$E$249,7,Parcours!$B$2:$B$249,"★")</f>
        <v>1</v>
      </c>
      <c r="E15" s="8">
        <f>COUNTIFS(Parcours!$E$2:$E$249,7,Parcours!$B$2:$B$249,"★★")</f>
        <v>1</v>
      </c>
      <c r="F15" s="8">
        <f>COUNTIFS(Parcours!$E$2:$E$249,7,Parcours!$B$2:$B$249,"★★★")</f>
        <v>2</v>
      </c>
      <c r="G15" s="8">
        <f t="shared" si="0"/>
        <v>4</v>
      </c>
      <c r="H15" s="8">
        <f>COUNTIFS(Parcours!$E$2:$E$249,7,Parcours!$A$2:$A$249,"&lt;&gt;")</f>
        <v>0</v>
      </c>
      <c r="I15" s="22">
        <f t="shared" si="1"/>
        <v>0</v>
      </c>
    </row>
    <row r="16" spans="1:9" x14ac:dyDescent="0.25">
      <c r="A16" s="8">
        <v>8</v>
      </c>
      <c r="B16" s="9" t="s">
        <v>50</v>
      </c>
      <c r="C16" s="8">
        <v>69</v>
      </c>
      <c r="D16" s="8">
        <f>COUNTIFS(Parcours!$E$2:$E$249,8,Parcours!$B$2:$B$249,"★")</f>
        <v>1</v>
      </c>
      <c r="E16" s="8">
        <f>COUNTIFS(Parcours!$E$2:$E$249,8,Parcours!$B$2:$B$249,"★★")</f>
        <v>1</v>
      </c>
      <c r="F16" s="8">
        <f>COUNTIFS(Parcours!$E$2:$E$249,8,Parcours!$B$2:$B$249,"★★★")</f>
        <v>1</v>
      </c>
      <c r="G16" s="8">
        <f t="shared" si="0"/>
        <v>3</v>
      </c>
      <c r="H16" s="8">
        <f>COUNTIFS(Parcours!$E$2:$E$249,8,Parcours!$A$2:$A$249,"&lt;&gt;")</f>
        <v>0</v>
      </c>
      <c r="I16" s="22">
        <f t="shared" si="1"/>
        <v>0</v>
      </c>
    </row>
    <row r="17" spans="1:9" x14ac:dyDescent="0.25">
      <c r="A17" s="8">
        <v>9</v>
      </c>
      <c r="B17" s="9" t="s">
        <v>53</v>
      </c>
      <c r="C17" s="8">
        <v>75</v>
      </c>
      <c r="D17" s="8">
        <f>COUNTIFS(Parcours!$E$2:$E$249,9,Parcours!$B$2:$B$249,"★")</f>
        <v>2</v>
      </c>
      <c r="E17" s="8">
        <f>COUNTIFS(Parcours!$E$2:$E$249,9,Parcours!$B$2:$B$249,"★★")</f>
        <v>3</v>
      </c>
      <c r="F17" s="8">
        <f>COUNTIFS(Parcours!$E$2:$E$249,9,Parcours!$B$2:$B$249,"★★★")</f>
        <v>3</v>
      </c>
      <c r="G17" s="8">
        <f t="shared" si="0"/>
        <v>8</v>
      </c>
      <c r="H17" s="8">
        <f>COUNTIFS(Parcours!$E$2:$E$249,9,Parcours!$A$2:$A$249,"&lt;&gt;")</f>
        <v>0</v>
      </c>
      <c r="I17" s="22">
        <f t="shared" si="1"/>
        <v>0</v>
      </c>
    </row>
    <row r="18" spans="1:9" x14ac:dyDescent="0.25">
      <c r="A18" s="8">
        <v>10</v>
      </c>
      <c r="B18" s="9" t="s">
        <v>58</v>
      </c>
      <c r="C18" s="8">
        <v>89</v>
      </c>
      <c r="D18" s="8">
        <f>COUNTIFS(Parcours!$E$2:$E$249,10,Parcours!$B$2:$B$249,"★")</f>
        <v>2</v>
      </c>
      <c r="E18" s="8">
        <f>COUNTIFS(Parcours!$E$2:$E$249,10,Parcours!$B$2:$B$249,"★★")</f>
        <v>4</v>
      </c>
      <c r="F18" s="8">
        <f>COUNTIFS(Parcours!$E$2:$E$249,10,Parcours!$B$2:$B$249,"★★★")</f>
        <v>3</v>
      </c>
      <c r="G18" s="8">
        <f t="shared" si="0"/>
        <v>9</v>
      </c>
      <c r="H18" s="8">
        <f>COUNTIFS(Parcours!$E$2:$E$249,10,Parcours!$A$2:$A$249,"&lt;&gt;")</f>
        <v>0</v>
      </c>
      <c r="I18" s="22">
        <f t="shared" si="1"/>
        <v>0</v>
      </c>
    </row>
    <row r="19" spans="1:9" x14ac:dyDescent="0.25">
      <c r="A19" s="8">
        <v>11</v>
      </c>
      <c r="B19" s="9" t="s">
        <v>63</v>
      </c>
      <c r="C19" s="8">
        <v>101</v>
      </c>
      <c r="D19" s="8">
        <f>COUNTIFS(Parcours!$E$2:$E$249,11,Parcours!$B$2:$B$249,"★")</f>
        <v>2</v>
      </c>
      <c r="E19" s="8">
        <f>COUNTIFS(Parcours!$E$2:$E$249,11,Parcours!$B$2:$B$249,"★★")</f>
        <v>4</v>
      </c>
      <c r="F19" s="8">
        <f>COUNTIFS(Parcours!$E$2:$E$249,11,Parcours!$B$2:$B$249,"★★★")</f>
        <v>3</v>
      </c>
      <c r="G19" s="8">
        <f t="shared" si="0"/>
        <v>9</v>
      </c>
      <c r="H19" s="8">
        <f>COUNTIFS(Parcours!$E$2:$E$249,11,Parcours!$A$2:$A$249,"&lt;&gt;")</f>
        <v>0</v>
      </c>
      <c r="I19" s="22">
        <f t="shared" si="1"/>
        <v>0</v>
      </c>
    </row>
    <row r="20" spans="1:9" x14ac:dyDescent="0.25">
      <c r="A20" s="8">
        <v>12</v>
      </c>
      <c r="B20" s="9" t="s">
        <v>68</v>
      </c>
      <c r="C20" s="8">
        <v>115</v>
      </c>
      <c r="D20" s="8">
        <f>COUNTIFS(Parcours!$E$2:$E$249,12,Parcours!$B$2:$B$249,"★")</f>
        <v>1</v>
      </c>
      <c r="E20" s="8">
        <f>COUNTIFS(Parcours!$E$2:$E$249,12,Parcours!$B$2:$B$249,"★★")</f>
        <v>3</v>
      </c>
      <c r="F20" s="8">
        <f>COUNTIFS(Parcours!$E$2:$E$249,12,Parcours!$B$2:$B$249,"★★★")</f>
        <v>4</v>
      </c>
      <c r="G20" s="8">
        <f t="shared" si="0"/>
        <v>8</v>
      </c>
      <c r="H20" s="8">
        <f>COUNTIFS(Parcours!$E$2:$E$249,12,Parcours!$A$2:$A$249,"&lt;&gt;")</f>
        <v>0</v>
      </c>
      <c r="I20" s="22">
        <f t="shared" si="1"/>
        <v>0</v>
      </c>
    </row>
    <row r="21" spans="1:9" x14ac:dyDescent="0.25">
      <c r="A21" s="8">
        <v>13</v>
      </c>
      <c r="B21" s="9" t="s">
        <v>71</v>
      </c>
      <c r="C21" s="8">
        <v>127</v>
      </c>
      <c r="D21" s="8">
        <f>COUNTIFS(Parcours!$E$2:$E$249,13,Parcours!$B$2:$B$249,"★")</f>
        <v>3</v>
      </c>
      <c r="E21" s="8">
        <f>COUNTIFS(Parcours!$E$2:$E$249,13,Parcours!$B$2:$B$249,"★★")</f>
        <v>7</v>
      </c>
      <c r="F21" s="8">
        <f>COUNTIFS(Parcours!$E$2:$E$249,13,Parcours!$B$2:$B$249,"★★★")</f>
        <v>1</v>
      </c>
      <c r="G21" s="8">
        <f t="shared" si="0"/>
        <v>11</v>
      </c>
      <c r="H21" s="8">
        <f>COUNTIFS(Parcours!$E$2:$E$249,13,Parcours!$A$2:$A$249,"&lt;&gt;")</f>
        <v>0</v>
      </c>
      <c r="I21" s="22">
        <f t="shared" si="1"/>
        <v>0</v>
      </c>
    </row>
    <row r="22" spans="1:9" x14ac:dyDescent="0.25">
      <c r="A22" s="8">
        <v>14</v>
      </c>
      <c r="B22" s="9" t="s">
        <v>77</v>
      </c>
      <c r="C22" s="8">
        <v>139</v>
      </c>
      <c r="D22" s="8">
        <f>COUNTIFS(Parcours!$E$2:$E$249,14,Parcours!$B$2:$B$249,"★")</f>
        <v>1</v>
      </c>
      <c r="E22" s="8">
        <f>COUNTIFS(Parcours!$E$2:$E$249,14,Parcours!$B$2:$B$249,"★★")</f>
        <v>3</v>
      </c>
      <c r="F22" s="8">
        <f>COUNTIFS(Parcours!$E$2:$E$249,14,Parcours!$B$2:$B$249,"★★★")</f>
        <v>4</v>
      </c>
      <c r="G22" s="8">
        <f t="shared" si="0"/>
        <v>8</v>
      </c>
      <c r="H22" s="8">
        <f>COUNTIFS(Parcours!$E$2:$E$249,14,Parcours!$A$2:$A$249,"&lt;&gt;")</f>
        <v>0</v>
      </c>
      <c r="I22" s="22">
        <f t="shared" si="1"/>
        <v>0</v>
      </c>
    </row>
    <row r="23" spans="1:9" ht="30" x14ac:dyDescent="0.25">
      <c r="A23" s="8">
        <v>15</v>
      </c>
      <c r="B23" s="9" t="s">
        <v>80</v>
      </c>
      <c r="C23" s="8">
        <v>151</v>
      </c>
      <c r="D23" s="8">
        <f>COUNTIFS(Parcours!$E$2:$E$249,15,Parcours!$B$2:$B$249,"★")</f>
        <v>1</v>
      </c>
      <c r="E23" s="8">
        <f>COUNTIFS(Parcours!$E$2:$E$249,15,Parcours!$B$2:$B$249,"★★")</f>
        <v>10</v>
      </c>
      <c r="F23" s="8">
        <f>COUNTIFS(Parcours!$E$2:$E$249,15,Parcours!$B$2:$B$249,"★★★")</f>
        <v>9</v>
      </c>
      <c r="G23" s="8">
        <f t="shared" si="0"/>
        <v>20</v>
      </c>
      <c r="H23" s="8">
        <f>COUNTIFS(Parcours!$E$2:$E$249,15,Parcours!$A$2:$A$249,"&lt;&gt;")</f>
        <v>0</v>
      </c>
      <c r="I23" s="22">
        <f t="shared" si="1"/>
        <v>0</v>
      </c>
    </row>
    <row r="24" spans="1:9" x14ac:dyDescent="0.25">
      <c r="A24" s="8">
        <v>16</v>
      </c>
      <c r="B24" s="9" t="s">
        <v>83</v>
      </c>
      <c r="C24" s="8">
        <v>171</v>
      </c>
      <c r="D24" s="8">
        <f>COUNTIFS(Parcours!$E$2:$E$249,16,Parcours!$B$2:$B$249,"★")</f>
        <v>3</v>
      </c>
      <c r="E24" s="8">
        <f>COUNTIFS(Parcours!$E$2:$E$249,16,Parcours!$B$2:$B$249,"★★")</f>
        <v>6</v>
      </c>
      <c r="F24" s="8">
        <f>COUNTIFS(Parcours!$E$2:$E$249,16,Parcours!$B$2:$B$249,"★★★")</f>
        <v>1</v>
      </c>
      <c r="G24" s="8">
        <f t="shared" si="0"/>
        <v>10</v>
      </c>
      <c r="H24" s="8">
        <f>COUNTIFS(Parcours!$E$2:$E$249,16,Parcours!$A$2:$A$249,"&lt;&gt;")</f>
        <v>0</v>
      </c>
      <c r="I24" s="22">
        <f t="shared" si="1"/>
        <v>0</v>
      </c>
    </row>
    <row r="25" spans="1:9" x14ac:dyDescent="0.25">
      <c r="A25" s="8">
        <v>17</v>
      </c>
      <c r="B25" s="9" t="s">
        <v>89</v>
      </c>
      <c r="C25" s="8">
        <v>183</v>
      </c>
      <c r="D25" s="8">
        <f>COUNTIFS(Parcours!$E$2:$E$249,17,Parcours!$B$2:$B$249,"★")</f>
        <v>1</v>
      </c>
      <c r="E25" s="8">
        <f>COUNTIFS(Parcours!$E$2:$E$249,17,Parcours!$B$2:$B$249,"★★")</f>
        <v>12</v>
      </c>
      <c r="F25" s="8">
        <f>COUNTIFS(Parcours!$E$2:$E$249,17,Parcours!$B$2:$B$249,"★★★")</f>
        <v>2</v>
      </c>
      <c r="G25" s="8">
        <f t="shared" si="0"/>
        <v>15</v>
      </c>
      <c r="H25" s="8">
        <f>COUNTIFS(Parcours!$E$2:$E$249,17,Parcours!$A$2:$A$249,"&lt;&gt;")</f>
        <v>0</v>
      </c>
      <c r="I25" s="22">
        <f t="shared" si="1"/>
        <v>0</v>
      </c>
    </row>
    <row r="26" spans="1:9" ht="30" x14ac:dyDescent="0.25">
      <c r="A26" s="8">
        <v>18</v>
      </c>
      <c r="B26" s="9" t="s">
        <v>92</v>
      </c>
      <c r="C26" s="8">
        <v>203</v>
      </c>
      <c r="D26" s="8">
        <f>COUNTIFS(Parcours!$E$2:$E$249,18,Parcours!$B$2:$B$249,"★")</f>
        <v>6</v>
      </c>
      <c r="E26" s="8">
        <f>COUNTIFS(Parcours!$E$2:$E$249,18,Parcours!$B$2:$B$249,"★★")</f>
        <v>10</v>
      </c>
      <c r="F26" s="8">
        <f>COUNTIFS(Parcours!$E$2:$E$249,18,Parcours!$B$2:$B$249,"★★★")</f>
        <v>6</v>
      </c>
      <c r="G26" s="8">
        <f t="shared" si="0"/>
        <v>22</v>
      </c>
      <c r="H26" s="8">
        <f>COUNTIFS(Parcours!$E$2:$E$249,18,Parcours!$A$2:$A$249,"&lt;&gt;")</f>
        <v>0</v>
      </c>
      <c r="I26" s="22">
        <f t="shared" si="1"/>
        <v>0</v>
      </c>
    </row>
    <row r="27" spans="1:9" x14ac:dyDescent="0.25">
      <c r="A27" s="8">
        <v>19</v>
      </c>
      <c r="B27" s="9" t="s">
        <v>105</v>
      </c>
      <c r="C27" s="8">
        <v>227</v>
      </c>
      <c r="D27" s="8">
        <f>COUNTIFS(Parcours!$E$2:$E$249,19,Parcours!$B$2:$B$249,"★")</f>
        <v>1</v>
      </c>
      <c r="E27" s="8">
        <f>COUNTIFS(Parcours!$E$2:$E$249,19,Parcours!$B$2:$B$249,"★★")</f>
        <v>9</v>
      </c>
      <c r="F27" s="8">
        <f>COUNTIFS(Parcours!$E$2:$E$249,19,Parcours!$B$2:$B$249,"★★★")</f>
        <v>4</v>
      </c>
      <c r="G27" s="8">
        <f t="shared" si="0"/>
        <v>14</v>
      </c>
      <c r="H27" s="8">
        <f>COUNTIFS(Parcours!$E$2:$E$249,19,Parcours!$A$2:$A$249,"&lt;&gt;")</f>
        <v>0</v>
      </c>
      <c r="I27" s="22">
        <f t="shared" si="1"/>
        <v>0</v>
      </c>
    </row>
    <row r="28" spans="1:9" x14ac:dyDescent="0.25">
      <c r="A28" s="8">
        <v>20</v>
      </c>
      <c r="B28" s="9" t="s">
        <v>108</v>
      </c>
      <c r="C28" s="8">
        <v>241</v>
      </c>
      <c r="D28" s="8">
        <f>COUNTIFS(Parcours!$E$2:$E$249,20,Parcours!$B$2:$B$249,"★")</f>
        <v>1</v>
      </c>
      <c r="E28" s="8">
        <f>COUNTIFS(Parcours!$E$2:$E$249,20,Parcours!$B$2:$B$249,"★★")</f>
        <v>2</v>
      </c>
      <c r="F28" s="8">
        <f>COUNTIFS(Parcours!$E$2:$E$249,20,Parcours!$B$2:$B$249,"★★★")</f>
        <v>5</v>
      </c>
      <c r="G28" s="8">
        <f t="shared" si="0"/>
        <v>8</v>
      </c>
      <c r="H28" s="8">
        <f>COUNTIFS(Parcours!$E$2:$E$249,20,Parcours!$A$2:$A$249,"&lt;&gt;")</f>
        <v>0</v>
      </c>
      <c r="I28" s="22">
        <f t="shared" si="1"/>
        <v>0</v>
      </c>
    </row>
    <row r="29" spans="1:9" x14ac:dyDescent="0.25">
      <c r="A29" s="8">
        <v>21</v>
      </c>
      <c r="B29" s="9" t="s">
        <v>111</v>
      </c>
      <c r="C29" s="8">
        <v>255</v>
      </c>
      <c r="D29" s="8">
        <f>COUNTIFS(Parcours!$E$2:$E$249,21,Parcours!$B$2:$B$249,"★")</f>
        <v>3</v>
      </c>
      <c r="E29" s="8">
        <f>COUNTIFS(Parcours!$E$2:$E$249,21,Parcours!$B$2:$B$249,"★★")</f>
        <v>3</v>
      </c>
      <c r="F29" s="8">
        <f>COUNTIFS(Parcours!$E$2:$E$249,21,Parcours!$B$2:$B$249,"★★★")</f>
        <v>2</v>
      </c>
      <c r="G29" s="8">
        <f t="shared" si="0"/>
        <v>8</v>
      </c>
      <c r="H29" s="8">
        <f>COUNTIFS(Parcours!$E$2:$E$249,21,Parcours!$A$2:$A$249,"&lt;&gt;")</f>
        <v>0</v>
      </c>
      <c r="I29" s="22">
        <f t="shared" si="1"/>
        <v>0</v>
      </c>
    </row>
    <row r="30" spans="1:9" x14ac:dyDescent="0.25">
      <c r="A30" s="8">
        <v>22</v>
      </c>
      <c r="B30" s="9" t="s">
        <v>118</v>
      </c>
      <c r="C30" s="8">
        <v>265</v>
      </c>
      <c r="D30" s="8">
        <f>COUNTIFS(Parcours!$E$2:$E$249,22,Parcours!$B$2:$B$249,"★")</f>
        <v>2</v>
      </c>
      <c r="E30" s="8">
        <f>COUNTIFS(Parcours!$E$2:$E$249,22,Parcours!$B$2:$B$249,"★★")</f>
        <v>3</v>
      </c>
      <c r="F30" s="8">
        <f>COUNTIFS(Parcours!$E$2:$E$249,22,Parcours!$B$2:$B$249,"★★★")</f>
        <v>2</v>
      </c>
      <c r="G30" s="8">
        <f t="shared" si="0"/>
        <v>7</v>
      </c>
      <c r="H30" s="8">
        <f>COUNTIFS(Parcours!$E$2:$E$249,22,Parcours!$A$2:$A$249,"&lt;&gt;")</f>
        <v>0</v>
      </c>
      <c r="I30" s="22">
        <f t="shared" si="1"/>
        <v>0</v>
      </c>
    </row>
    <row r="31" spans="1:9" x14ac:dyDescent="0.25">
      <c r="A31" s="8">
        <v>23</v>
      </c>
      <c r="B31" s="9" t="s">
        <v>123</v>
      </c>
      <c r="C31" s="8">
        <v>275</v>
      </c>
      <c r="D31" s="8">
        <f>COUNTIFS(Parcours!$E$2:$E$249,23,Parcours!$B$2:$B$249,"★")</f>
        <v>2</v>
      </c>
      <c r="E31" s="8">
        <f>COUNTIFS(Parcours!$E$2:$E$249,23,Parcours!$B$2:$B$249,"★★")</f>
        <v>2</v>
      </c>
      <c r="F31" s="8">
        <f>COUNTIFS(Parcours!$E$2:$E$249,23,Parcours!$B$2:$B$249,"★★★")</f>
        <v>1</v>
      </c>
      <c r="G31" s="8">
        <f t="shared" si="0"/>
        <v>5</v>
      </c>
      <c r="H31" s="8">
        <f>COUNTIFS(Parcours!$E$2:$E$249,23,Parcours!$A$2:$A$249,"&lt;&gt;")</f>
        <v>0</v>
      </c>
      <c r="I31" s="22">
        <f t="shared" si="1"/>
        <v>0</v>
      </c>
    </row>
    <row r="32" spans="1:9" x14ac:dyDescent="0.25">
      <c r="A32" s="8">
        <v>24</v>
      </c>
      <c r="B32" s="9" t="s">
        <v>128</v>
      </c>
      <c r="C32" s="8">
        <v>279</v>
      </c>
      <c r="D32" s="8">
        <f>COUNTIFS(Parcours!$E$2:$E$249,24,Parcours!$B$2:$B$249,"★")</f>
        <v>2</v>
      </c>
      <c r="E32" s="8">
        <f>COUNTIFS(Parcours!$E$2:$E$249,24,Parcours!$B$2:$B$249,"★★")</f>
        <v>1</v>
      </c>
      <c r="F32" s="8">
        <f>COUNTIFS(Parcours!$E$2:$E$249,24,Parcours!$B$2:$B$249,"★★★")</f>
        <v>3</v>
      </c>
      <c r="G32" s="8">
        <f t="shared" si="0"/>
        <v>6</v>
      </c>
      <c r="H32" s="8">
        <f>COUNTIFS(Parcours!$E$2:$E$249,24,Parcours!$A$2:$A$249,"&lt;&gt;")</f>
        <v>0</v>
      </c>
      <c r="I32" s="22">
        <f t="shared" si="1"/>
        <v>0</v>
      </c>
    </row>
    <row r="33" spans="1:9" x14ac:dyDescent="0.25">
      <c r="A33" s="8">
        <v>25</v>
      </c>
      <c r="B33" s="9" t="s">
        <v>133</v>
      </c>
      <c r="C33" s="8">
        <v>287</v>
      </c>
      <c r="D33" s="8">
        <f>COUNTIFS(Parcours!$E$2:$E$249,25,Parcours!$B$2:$B$249,"★")</f>
        <v>1</v>
      </c>
      <c r="E33" s="8">
        <f>COUNTIFS(Parcours!$E$2:$E$249,25,Parcours!$B$2:$B$249,"★★")</f>
        <v>1</v>
      </c>
      <c r="F33" s="8">
        <f>COUNTIFS(Parcours!$E$2:$E$249,25,Parcours!$B$2:$B$249,"★★★")</f>
        <v>1</v>
      </c>
      <c r="G33" s="8">
        <f t="shared" si="0"/>
        <v>3</v>
      </c>
      <c r="H33" s="8">
        <f>COUNTIFS(Parcours!$E$2:$E$249,25,Parcours!$A$2:$A$249,"&lt;&gt;")</f>
        <v>0</v>
      </c>
      <c r="I33" s="22">
        <f t="shared" si="1"/>
        <v>0</v>
      </c>
    </row>
    <row r="34" spans="1:9" ht="30" x14ac:dyDescent="0.25">
      <c r="A34" s="8">
        <v>26</v>
      </c>
      <c r="B34" s="9" t="s">
        <v>136</v>
      </c>
      <c r="C34" s="8">
        <v>291</v>
      </c>
      <c r="D34" s="8">
        <f>COUNTIFS(Parcours!$E$2:$E$249,26,Parcours!$B$2:$B$249,"★")</f>
        <v>4</v>
      </c>
      <c r="E34" s="8">
        <f>COUNTIFS(Parcours!$E$2:$E$249,26,Parcours!$B$2:$B$249,"★★")</f>
        <v>2</v>
      </c>
      <c r="F34" s="8">
        <f>COUNTIFS(Parcours!$E$2:$E$249,26,Parcours!$B$2:$B$249,"★★★")</f>
        <v>4</v>
      </c>
      <c r="G34" s="8">
        <f t="shared" si="0"/>
        <v>10</v>
      </c>
      <c r="H34" s="8">
        <f>COUNTIFS(Parcours!$E$2:$E$249,26,Parcours!$A$2:$A$249,"&lt;&gt;")</f>
        <v>0</v>
      </c>
      <c r="I34" s="22">
        <f t="shared" si="1"/>
        <v>0</v>
      </c>
    </row>
    <row r="35" spans="1:9" x14ac:dyDescent="0.25">
      <c r="A35" s="8">
        <v>27</v>
      </c>
      <c r="B35" s="9" t="s">
        <v>363</v>
      </c>
      <c r="C35" s="8">
        <v>305</v>
      </c>
      <c r="D35" s="8">
        <f>COUNTIFS(Parcours!$E$2:$E$249,27,Parcours!$B$2:$B$249,"★")</f>
        <v>0</v>
      </c>
      <c r="E35" s="8">
        <f>COUNTIFS(Parcours!$E$2:$E$249,27,Parcours!$B$2:$B$249,"★★")</f>
        <v>2</v>
      </c>
      <c r="F35" s="8">
        <f>COUNTIFS(Parcours!$E$2:$E$249,27,Parcours!$B$2:$B$249,"★★★")</f>
        <v>4</v>
      </c>
      <c r="G35" s="8">
        <f t="shared" si="0"/>
        <v>6</v>
      </c>
      <c r="H35" s="8">
        <f>COUNTIFS(Parcours!$E$2:$E$249,27,Parcours!$A$2:$A$249,"&lt;&gt;")</f>
        <v>0</v>
      </c>
      <c r="I35" s="22">
        <f t="shared" si="1"/>
        <v>0</v>
      </c>
    </row>
    <row r="36" spans="1:9" x14ac:dyDescent="0.25">
      <c r="A36" s="8">
        <v>28</v>
      </c>
      <c r="B36" s="9" t="s">
        <v>145</v>
      </c>
      <c r="C36" s="8">
        <v>313</v>
      </c>
      <c r="D36" s="8">
        <f>COUNTIFS(Parcours!$E$2:$E$249,28,Parcours!$B$2:$B$249,"★")</f>
        <v>1</v>
      </c>
      <c r="E36" s="8">
        <f>COUNTIFS(Parcours!$E$2:$E$249,28,Parcours!$B$2:$B$249,"★★")</f>
        <v>2</v>
      </c>
      <c r="F36" s="8">
        <f>COUNTIFS(Parcours!$E$2:$E$249,28,Parcours!$B$2:$B$249,"★★★")</f>
        <v>1</v>
      </c>
      <c r="G36" s="8">
        <f t="shared" si="0"/>
        <v>4</v>
      </c>
      <c r="H36" s="8">
        <f>COUNTIFS(Parcours!$E$2:$E$249,28,Parcours!$A$2:$A$249,"&lt;&gt;")</f>
        <v>0</v>
      </c>
      <c r="I36" s="22">
        <f t="shared" si="1"/>
        <v>0</v>
      </c>
    </row>
    <row r="37" spans="1:9" ht="30" x14ac:dyDescent="0.25">
      <c r="A37" s="8">
        <v>29</v>
      </c>
      <c r="B37" s="9" t="s">
        <v>148</v>
      </c>
      <c r="C37" s="8">
        <v>319</v>
      </c>
      <c r="D37" s="8">
        <f>COUNTIFS(Parcours!$E$2:$E$249,29,Parcours!$B$2:$B$249,"★")</f>
        <v>3</v>
      </c>
      <c r="E37" s="8">
        <f>COUNTIFS(Parcours!$E$2:$E$249,29,Parcours!$B$2:$B$249,"★★")</f>
        <v>3</v>
      </c>
      <c r="F37" s="8">
        <f>COUNTIFS(Parcours!$E$2:$E$249,29,Parcours!$B$2:$B$249,"★★★")</f>
        <v>1</v>
      </c>
      <c r="G37" s="8">
        <f t="shared" si="0"/>
        <v>7</v>
      </c>
      <c r="H37" s="8">
        <f>COUNTIFS(Parcours!$E$2:$E$249,29,Parcours!$A$2:$A$249,"&lt;&gt;")</f>
        <v>0</v>
      </c>
      <c r="I37" s="22">
        <f t="shared" si="1"/>
        <v>0</v>
      </c>
    </row>
    <row r="38" spans="1:9" x14ac:dyDescent="0.25">
      <c r="A38" s="8">
        <v>30</v>
      </c>
      <c r="B38" s="9" t="s">
        <v>155</v>
      </c>
      <c r="C38" s="8">
        <v>325</v>
      </c>
      <c r="D38" s="8">
        <f>COUNTIFS(Parcours!$E$2:$E$249,30,Parcours!$B$2:$B$249,"★")</f>
        <v>4</v>
      </c>
      <c r="E38" s="8">
        <f>COUNTIFS(Parcours!$E$2:$E$249,30,Parcours!$B$2:$B$249,"★★")</f>
        <v>4</v>
      </c>
      <c r="F38" s="8">
        <f>COUNTIFS(Parcours!$E$2:$E$249,30,Parcours!$B$2:$B$249,"★★★")</f>
        <v>5</v>
      </c>
      <c r="G38" s="8">
        <f t="shared" si="0"/>
        <v>13</v>
      </c>
      <c r="H38" s="8">
        <f>COUNTIFS(Parcours!$E$2:$E$249,30,Parcours!$A$2:$A$249,"&lt;&gt;")</f>
        <v>0</v>
      </c>
      <c r="I38" s="22">
        <f t="shared" si="1"/>
        <v>0</v>
      </c>
    </row>
  </sheetData>
  <printOptions horizontalCentered="1"/>
  <pageMargins left="0.5" right="0.5" top="0.6" bottom="0.6" header="0.5" footer="0.5"/>
  <pageSetup paperSize="9" fitToHeight="0" orientation="portrait"/>
  <headerFooter>
    <oddFooter>&amp;C&amp;8 Le parcours en trois niveaux — Manuel complet du jeu positionnel, tome 1 — olibris.fr/sakaev1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Mode d'emploi</vt:lpstr>
      <vt:lpstr>Parcours</vt:lpstr>
      <vt:lpstr>Par chapitre</vt:lpstr>
      <vt:lpstr>Parcours!Impression_des_titres</vt:lpstr>
      <vt:lpstr>'Mode d''emploi'!Zone_d_impression</vt:lpstr>
      <vt:lpstr>'Par chapitre'!Zone_d_impression</vt:lpstr>
      <vt:lpstr>Parcours!Zone_d_impression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Olivier Letréguilly</cp:lastModifiedBy>
  <dcterms:created xsi:type="dcterms:W3CDTF">2026-10-05T14:15:43Z</dcterms:created>
  <dcterms:modified xsi:type="dcterms:W3CDTF">2026-10-05T14:15:44Z</dcterms:modified>
</cp:coreProperties>
</file>